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350" yWindow="480" windowWidth="15710" windowHeight="6210" tabRatio="949"/>
  </bookViews>
  <sheets>
    <sheet name="Cover" sheetId="7" r:id="rId1"/>
    <sheet name="Fin. Highlights - FY" sheetId="6" r:id="rId2"/>
    <sheet name="Fin. Highlights - interim" sheetId="12" r:id="rId3"/>
    <sheet name="Adj. Rev. detail - FY" sheetId="9" r:id="rId4"/>
    <sheet name="Adj. Rev. detail - Interim" sheetId="13" r:id="rId5"/>
    <sheet name="Adj. EBIT bridge - FY" sheetId="10" r:id="rId6"/>
    <sheet name="Adj. EBIT bridge - Interim" sheetId="15" r:id="rId7"/>
    <sheet name="Balance Sheet - FY" sheetId="1" r:id="rId8"/>
    <sheet name="Balance Sheet - Interim" sheetId="16" r:id="rId9"/>
    <sheet name="Cash Flow - FY" sheetId="11" r:id="rId10"/>
    <sheet name="Cash Flow - Interim" sheetId="17" r:id="rId11"/>
  </sheets>
  <definedNames>
    <definedName name="CIQWBGuid" hidden="1">"c5546008-19d1-4a42-bf22-4315ada62b00"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43932.4910185185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5">'Adj. EBIT bridge - FY'!$A$1:$J$27</definedName>
    <definedName name="_xlnm.Print_Area" localSheetId="6">'Adj. EBIT bridge - Interim'!$A$1:$AE$27</definedName>
    <definedName name="_xlnm.Print_Area" localSheetId="3">'Adj. Rev. detail - FY'!$A$1:$K$72</definedName>
    <definedName name="_xlnm.Print_Area" localSheetId="4">'Adj. Rev. detail - Interim'!$A$1:$AL$71</definedName>
    <definedName name="_xlnm.Print_Area" localSheetId="7">'Balance Sheet - FY'!$A$1:$K$122</definedName>
    <definedName name="_xlnm.Print_Area" localSheetId="8">'Balance Sheet - Interim'!$A$1:$T$122</definedName>
    <definedName name="_xlnm.Print_Area" localSheetId="9">'Cash Flow - FY'!$A$1:$K$121</definedName>
    <definedName name="_xlnm.Print_Area" localSheetId="10">'Cash Flow - Interim'!$A$1:$W$122</definedName>
    <definedName name="_xlnm.Print_Area" localSheetId="0">Cover!$A$1:$L$46</definedName>
    <definedName name="_xlnm.Print_Area" localSheetId="1">'Fin. Highlights - FY'!$A$1:$K$67</definedName>
    <definedName name="_xlnm.Print_Area" localSheetId="2">'Fin. Highlights - interim'!$A$1:$AL$55</definedName>
  </definedNames>
  <calcPr calcId="162913"/>
</workbook>
</file>

<file path=xl/calcChain.xml><?xml version="1.0" encoding="utf-8"?>
<calcChain xmlns="http://schemas.openxmlformats.org/spreadsheetml/2006/main">
  <c r="N33" i="16" l="1"/>
  <c r="M33" i="16"/>
  <c r="L33" i="16"/>
  <c r="J33" i="16"/>
  <c r="I33" i="16"/>
  <c r="H33" i="16"/>
  <c r="F33" i="16"/>
  <c r="E33" i="16"/>
  <c r="D33" i="16"/>
  <c r="R33" i="16"/>
  <c r="Q33" i="16"/>
  <c r="P33" i="16"/>
  <c r="N35" i="16"/>
  <c r="M35" i="16"/>
  <c r="H33" i="1"/>
  <c r="G33" i="1"/>
  <c r="F33" i="1"/>
  <c r="E33" i="1"/>
  <c r="D33" i="1"/>
  <c r="C33" i="1"/>
  <c r="J33" i="1"/>
  <c r="I33" i="1"/>
  <c r="R54" i="17" l="1"/>
  <c r="R79" i="17"/>
  <c r="F81" i="17"/>
  <c r="F80" i="17"/>
  <c r="J81" i="17"/>
  <c r="J80" i="17"/>
  <c r="N81" i="17"/>
  <c r="N80" i="17"/>
  <c r="V81" i="17"/>
  <c r="V80" i="17"/>
  <c r="V79" i="17" s="1"/>
  <c r="R81" i="17"/>
  <c r="R80" i="17"/>
  <c r="J79" i="11" l="1"/>
  <c r="J97" i="11" s="1"/>
  <c r="I79" i="11"/>
  <c r="I72" i="11"/>
  <c r="J72" i="11"/>
  <c r="F74" i="17"/>
  <c r="F73" i="17"/>
  <c r="J74" i="17"/>
  <c r="J73" i="17"/>
  <c r="N74" i="17"/>
  <c r="N73" i="17"/>
  <c r="V74" i="17"/>
  <c r="V73" i="17"/>
  <c r="R74" i="17"/>
  <c r="R73" i="17"/>
  <c r="V53" i="17"/>
  <c r="V52" i="17"/>
  <c r="V51" i="17"/>
  <c r="I69" i="11"/>
  <c r="J69" i="11"/>
  <c r="N71" i="17"/>
  <c r="N70" i="17"/>
  <c r="J71" i="17"/>
  <c r="J70" i="17"/>
  <c r="F71" i="17"/>
  <c r="F70" i="17"/>
  <c r="V71" i="17"/>
  <c r="V70" i="17"/>
  <c r="R71" i="17"/>
  <c r="R70" i="17"/>
  <c r="N96" i="17"/>
  <c r="J96" i="17"/>
  <c r="F96" i="17"/>
  <c r="R96" i="17"/>
  <c r="V96" i="17"/>
  <c r="R69" i="17" l="1"/>
  <c r="R72" i="17"/>
  <c r="V72" i="17"/>
  <c r="V69" i="17"/>
  <c r="V54" i="17"/>
  <c r="J8" i="11" l="1"/>
  <c r="J13" i="11" l="1"/>
  <c r="U93" i="17"/>
  <c r="U97" i="17" s="1"/>
  <c r="T93" i="17"/>
  <c r="T97" i="17" s="1"/>
  <c r="S93" i="17"/>
  <c r="S97" i="17" s="1"/>
  <c r="Q93" i="17"/>
  <c r="Q97" i="17" s="1"/>
  <c r="P93" i="17"/>
  <c r="P97" i="17" s="1"/>
  <c r="O93" i="17"/>
  <c r="O97" i="17" s="1"/>
  <c r="K93" i="17"/>
  <c r="K97" i="17" s="1"/>
  <c r="I93" i="17"/>
  <c r="I97" i="17" s="1"/>
  <c r="H93" i="17"/>
  <c r="H97" i="17" s="1"/>
  <c r="G93" i="17"/>
  <c r="G97" i="17" s="1"/>
  <c r="E93" i="17"/>
  <c r="E97" i="17" s="1"/>
  <c r="D93" i="17"/>
  <c r="D97" i="17" s="1"/>
  <c r="C93" i="17"/>
  <c r="C97" i="17" s="1"/>
  <c r="V93" i="17"/>
  <c r="I93" i="11"/>
  <c r="I97" i="11" s="1"/>
  <c r="H93" i="11"/>
  <c r="H97" i="11" s="1"/>
  <c r="G93" i="11"/>
  <c r="G97" i="11" s="1"/>
  <c r="F93" i="11"/>
  <c r="F97" i="11" s="1"/>
  <c r="E93" i="11"/>
  <c r="E97" i="11" s="1"/>
  <c r="D93" i="11"/>
  <c r="D97" i="11" s="1"/>
  <c r="C93" i="11"/>
  <c r="C97" i="11" s="1"/>
  <c r="J109" i="11"/>
  <c r="I109" i="11"/>
  <c r="C7" i="17"/>
  <c r="C11" i="17" s="1"/>
  <c r="D7" i="17"/>
  <c r="D11" i="17" s="1"/>
  <c r="E7" i="17"/>
  <c r="E11" i="17" s="1"/>
  <c r="G7" i="17"/>
  <c r="G11" i="17" s="1"/>
  <c r="H7" i="17"/>
  <c r="H11" i="17" s="1"/>
  <c r="I7" i="17"/>
  <c r="I11" i="17" s="1"/>
  <c r="K7" i="17"/>
  <c r="K11" i="17" s="1"/>
  <c r="L7" i="17"/>
  <c r="L11" i="17" s="1"/>
  <c r="M7" i="17"/>
  <c r="M11" i="17" s="1"/>
  <c r="O7" i="17"/>
  <c r="P7" i="17"/>
  <c r="Q7" i="17"/>
  <c r="S7" i="17"/>
  <c r="T7" i="17"/>
  <c r="U7" i="17"/>
  <c r="F8" i="17"/>
  <c r="O8" i="17"/>
  <c r="P8" i="17"/>
  <c r="Q8" i="17"/>
  <c r="S8" i="17"/>
  <c r="T8" i="17"/>
  <c r="U8" i="17"/>
  <c r="V8" i="17"/>
  <c r="F9" i="17"/>
  <c r="J9" i="17"/>
  <c r="N9" i="17"/>
  <c r="R9" i="17"/>
  <c r="V9" i="17"/>
  <c r="F10" i="17"/>
  <c r="J10" i="17"/>
  <c r="N10" i="17"/>
  <c r="R10" i="17"/>
  <c r="V10" i="17"/>
  <c r="C12" i="17"/>
  <c r="D12" i="17"/>
  <c r="E12" i="17"/>
  <c r="G12" i="17"/>
  <c r="K12" i="17"/>
  <c r="L12" i="17"/>
  <c r="M12" i="17"/>
  <c r="O12" i="17"/>
  <c r="P12" i="17"/>
  <c r="Q12" i="17"/>
  <c r="S12" i="17"/>
  <c r="T12" i="17"/>
  <c r="U12" i="17"/>
  <c r="V65" i="17"/>
  <c r="V12" i="17" s="1"/>
  <c r="C13" i="17"/>
  <c r="D13" i="17"/>
  <c r="E13" i="17"/>
  <c r="G13" i="17"/>
  <c r="H13" i="17"/>
  <c r="I13" i="17"/>
  <c r="K13" i="17"/>
  <c r="L13" i="17"/>
  <c r="M13" i="17"/>
  <c r="O56" i="17"/>
  <c r="O13" i="17" s="1"/>
  <c r="P13" i="17"/>
  <c r="S56" i="17"/>
  <c r="S13" i="17" s="1"/>
  <c r="T56" i="17"/>
  <c r="T13" i="17" s="1"/>
  <c r="U56" i="17"/>
  <c r="U13" i="17" s="1"/>
  <c r="V56" i="17"/>
  <c r="V13" i="17" s="1"/>
  <c r="F14" i="17"/>
  <c r="J14" i="17"/>
  <c r="N14" i="17"/>
  <c r="R14" i="17"/>
  <c r="O16" i="17"/>
  <c r="P16" i="17"/>
  <c r="Q16" i="17"/>
  <c r="V16" i="17"/>
  <c r="J17" i="17"/>
  <c r="N17" i="17"/>
  <c r="R17" i="17"/>
  <c r="V17" i="17"/>
  <c r="R22" i="17"/>
  <c r="V22" i="17"/>
  <c r="R23" i="17"/>
  <c r="V23" i="17"/>
  <c r="R24" i="17"/>
  <c r="V24" i="17"/>
  <c r="C25" i="17"/>
  <c r="C26" i="17" s="1"/>
  <c r="D25" i="17"/>
  <c r="E25" i="17"/>
  <c r="E26" i="17" s="1"/>
  <c r="F25" i="17"/>
  <c r="F26" i="17" s="1"/>
  <c r="G25" i="17"/>
  <c r="H25" i="17"/>
  <c r="I25" i="17"/>
  <c r="J25" i="17"/>
  <c r="K25" i="17"/>
  <c r="L25" i="17"/>
  <c r="M25" i="17"/>
  <c r="O25" i="17"/>
  <c r="P25" i="17"/>
  <c r="Q25" i="17"/>
  <c r="S25" i="17"/>
  <c r="T25" i="17"/>
  <c r="U25" i="17"/>
  <c r="D26" i="17"/>
  <c r="F28" i="17"/>
  <c r="J28" i="17"/>
  <c r="N28" i="17"/>
  <c r="R28" i="17"/>
  <c r="V28" i="17"/>
  <c r="F29" i="17"/>
  <c r="J29" i="17"/>
  <c r="N29" i="17"/>
  <c r="R29" i="17"/>
  <c r="V29" i="17"/>
  <c r="F30" i="17"/>
  <c r="J30" i="17"/>
  <c r="N30" i="17"/>
  <c r="R30" i="17"/>
  <c r="V30" i="17"/>
  <c r="F31" i="17"/>
  <c r="J31" i="17"/>
  <c r="N31" i="17"/>
  <c r="R31" i="17"/>
  <c r="V31" i="17"/>
  <c r="F32" i="17"/>
  <c r="J32" i="17"/>
  <c r="N32" i="17"/>
  <c r="R32" i="17"/>
  <c r="V32" i="17"/>
  <c r="F33" i="17"/>
  <c r="J33" i="17"/>
  <c r="N33" i="17"/>
  <c r="R33" i="17"/>
  <c r="V33" i="17"/>
  <c r="F34" i="17"/>
  <c r="J34" i="17"/>
  <c r="N34" i="17"/>
  <c r="R34" i="17"/>
  <c r="V34" i="17"/>
  <c r="F35" i="17"/>
  <c r="J35" i="17"/>
  <c r="N35" i="17"/>
  <c r="R35" i="17"/>
  <c r="V35" i="17"/>
  <c r="F36" i="17"/>
  <c r="J36" i="17"/>
  <c r="N36" i="17"/>
  <c r="R36" i="17"/>
  <c r="V36" i="17"/>
  <c r="F37" i="17"/>
  <c r="J37" i="17"/>
  <c r="N37" i="17"/>
  <c r="R37" i="17"/>
  <c r="V37" i="17"/>
  <c r="F38" i="17"/>
  <c r="J38" i="17"/>
  <c r="N38" i="17"/>
  <c r="R38" i="17"/>
  <c r="V38" i="17"/>
  <c r="F39" i="17"/>
  <c r="J39" i="17"/>
  <c r="N39" i="17"/>
  <c r="R39" i="17"/>
  <c r="V39" i="17"/>
  <c r="C40" i="17"/>
  <c r="D40" i="17"/>
  <c r="E40" i="17"/>
  <c r="G40" i="17"/>
  <c r="H40" i="17"/>
  <c r="I40" i="17"/>
  <c r="V40" i="17"/>
  <c r="F41" i="17"/>
  <c r="J41" i="17"/>
  <c r="N41" i="17"/>
  <c r="R41" i="17"/>
  <c r="V41" i="17"/>
  <c r="F43" i="17"/>
  <c r="J43" i="17"/>
  <c r="N43" i="17"/>
  <c r="R43" i="17"/>
  <c r="S43" i="17"/>
  <c r="T43" i="17"/>
  <c r="U43" i="17"/>
  <c r="V43" i="17"/>
  <c r="F44" i="17"/>
  <c r="J44" i="17"/>
  <c r="N44" i="17"/>
  <c r="R44" i="17"/>
  <c r="V44" i="17"/>
  <c r="C48" i="17"/>
  <c r="D48" i="17"/>
  <c r="E48" i="17"/>
  <c r="F48" i="17"/>
  <c r="G48" i="17"/>
  <c r="H48" i="17"/>
  <c r="I48" i="17"/>
  <c r="J48" i="17"/>
  <c r="K48" i="17"/>
  <c r="L48" i="17"/>
  <c r="M48" i="17"/>
  <c r="N48" i="17"/>
  <c r="O48" i="17"/>
  <c r="P48" i="17"/>
  <c r="Q48" i="17"/>
  <c r="R48" i="17"/>
  <c r="S48" i="17"/>
  <c r="T48" i="17"/>
  <c r="U48" i="17"/>
  <c r="V48" i="17"/>
  <c r="C49" i="17"/>
  <c r="D49" i="17"/>
  <c r="E49" i="17"/>
  <c r="F49" i="17"/>
  <c r="G49" i="17"/>
  <c r="H49" i="17"/>
  <c r="I49" i="17"/>
  <c r="J49" i="17"/>
  <c r="K49" i="17"/>
  <c r="L49" i="17"/>
  <c r="M49" i="17"/>
  <c r="N49" i="17"/>
  <c r="O49" i="17"/>
  <c r="P49" i="17"/>
  <c r="Q49" i="17"/>
  <c r="R49" i="17"/>
  <c r="S49" i="17"/>
  <c r="T49" i="17"/>
  <c r="U49" i="17"/>
  <c r="V49" i="17"/>
  <c r="C52" i="17"/>
  <c r="D52" i="17"/>
  <c r="E52" i="17"/>
  <c r="G52" i="17"/>
  <c r="H52" i="17"/>
  <c r="I52" i="17"/>
  <c r="J52" i="17"/>
  <c r="K52" i="17"/>
  <c r="L52" i="17"/>
  <c r="M52" i="17"/>
  <c r="O52" i="17"/>
  <c r="P52" i="17"/>
  <c r="Q52" i="17"/>
  <c r="S52" i="17"/>
  <c r="T52" i="17"/>
  <c r="U52" i="17"/>
  <c r="C53" i="17"/>
  <c r="D53" i="17"/>
  <c r="E53" i="17"/>
  <c r="G53" i="17"/>
  <c r="H53" i="17"/>
  <c r="I53" i="17"/>
  <c r="J53" i="17"/>
  <c r="K53" i="17"/>
  <c r="L53" i="17"/>
  <c r="M53" i="17"/>
  <c r="O53" i="17"/>
  <c r="P53" i="17"/>
  <c r="Q53" i="17"/>
  <c r="S53" i="17"/>
  <c r="U53" i="17"/>
  <c r="F55" i="17"/>
  <c r="J55" i="17"/>
  <c r="N55" i="17"/>
  <c r="R55" i="17"/>
  <c r="V55" i="17"/>
  <c r="C56" i="17"/>
  <c r="D56" i="17"/>
  <c r="E56" i="17"/>
  <c r="F57" i="17"/>
  <c r="F58" i="17"/>
  <c r="G56" i="17"/>
  <c r="H56" i="17"/>
  <c r="I56" i="17"/>
  <c r="J57" i="17"/>
  <c r="J58" i="17"/>
  <c r="K56" i="17"/>
  <c r="L56" i="17"/>
  <c r="M56" i="17"/>
  <c r="N57" i="17"/>
  <c r="N58" i="17"/>
  <c r="P56" i="17"/>
  <c r="Q56" i="17"/>
  <c r="R57" i="17"/>
  <c r="R58" i="17"/>
  <c r="V57" i="17"/>
  <c r="V58" i="17"/>
  <c r="F59" i="17"/>
  <c r="J59" i="17"/>
  <c r="N59" i="17"/>
  <c r="R59" i="17"/>
  <c r="V59" i="17"/>
  <c r="F60" i="17"/>
  <c r="J60" i="17"/>
  <c r="N60" i="17"/>
  <c r="R60" i="17"/>
  <c r="V60" i="17"/>
  <c r="F61" i="17"/>
  <c r="J61" i="17"/>
  <c r="N61" i="17"/>
  <c r="R61" i="17"/>
  <c r="V61" i="17"/>
  <c r="F62" i="17"/>
  <c r="J62" i="17"/>
  <c r="N62" i="17"/>
  <c r="R62" i="17"/>
  <c r="V62" i="17"/>
  <c r="F64" i="17"/>
  <c r="J64" i="17"/>
  <c r="N64" i="17"/>
  <c r="R64" i="17"/>
  <c r="V64" i="17"/>
  <c r="F65" i="17"/>
  <c r="J65" i="17"/>
  <c r="N65" i="17"/>
  <c r="R65" i="17"/>
  <c r="F66" i="17"/>
  <c r="J66" i="17"/>
  <c r="N66" i="17"/>
  <c r="R66" i="17"/>
  <c r="V66" i="17"/>
  <c r="F67" i="17"/>
  <c r="J67" i="17"/>
  <c r="N67" i="17"/>
  <c r="R67" i="17"/>
  <c r="V67" i="17"/>
  <c r="F68" i="17"/>
  <c r="J68" i="17"/>
  <c r="N68" i="17"/>
  <c r="R68" i="17"/>
  <c r="V68" i="17"/>
  <c r="F69" i="17"/>
  <c r="J69" i="17"/>
  <c r="N69" i="17"/>
  <c r="P69" i="17"/>
  <c r="Q69" i="17"/>
  <c r="F72" i="17"/>
  <c r="J72" i="17"/>
  <c r="N72" i="17"/>
  <c r="F77" i="17"/>
  <c r="J77" i="17"/>
  <c r="N77" i="17"/>
  <c r="R77" i="17"/>
  <c r="V77" i="17"/>
  <c r="F78" i="17"/>
  <c r="J78" i="17"/>
  <c r="N78" i="17"/>
  <c r="R78" i="17"/>
  <c r="V78" i="17"/>
  <c r="F79" i="17"/>
  <c r="J79" i="17"/>
  <c r="N79" i="17"/>
  <c r="F82" i="17"/>
  <c r="J82" i="17"/>
  <c r="N82" i="17"/>
  <c r="R82" i="17"/>
  <c r="V82" i="17"/>
  <c r="F83" i="17"/>
  <c r="J83" i="17"/>
  <c r="N83" i="17"/>
  <c r="R83" i="17"/>
  <c r="V83" i="17"/>
  <c r="F84" i="17"/>
  <c r="J84" i="17"/>
  <c r="N84" i="17"/>
  <c r="R84" i="17"/>
  <c r="V84" i="17"/>
  <c r="F85" i="17"/>
  <c r="J85" i="17"/>
  <c r="N85" i="17"/>
  <c r="R85" i="17"/>
  <c r="V85" i="17"/>
  <c r="F86" i="17"/>
  <c r="J86" i="17"/>
  <c r="N86" i="17"/>
  <c r="R86" i="17"/>
  <c r="V86" i="17"/>
  <c r="F87" i="17"/>
  <c r="J87" i="17"/>
  <c r="N87" i="17"/>
  <c r="R87" i="17"/>
  <c r="V87" i="17"/>
  <c r="F88" i="17"/>
  <c r="J88" i="17"/>
  <c r="N88" i="17"/>
  <c r="R88" i="17"/>
  <c r="V88" i="17"/>
  <c r="F94" i="17"/>
  <c r="J94" i="17"/>
  <c r="N94" i="17"/>
  <c r="R94" i="17"/>
  <c r="V94" i="17"/>
  <c r="F89" i="17"/>
  <c r="J89" i="17"/>
  <c r="N89" i="17"/>
  <c r="R89" i="17"/>
  <c r="V89" i="17"/>
  <c r="F90" i="17"/>
  <c r="J90" i="17"/>
  <c r="N90" i="17"/>
  <c r="R90" i="17"/>
  <c r="V90" i="17"/>
  <c r="F91" i="17"/>
  <c r="J91" i="17"/>
  <c r="N91" i="17"/>
  <c r="R91" i="17"/>
  <c r="V91" i="17"/>
  <c r="F92" i="17"/>
  <c r="J92" i="17"/>
  <c r="N92" i="17"/>
  <c r="R92" i="17"/>
  <c r="V92" i="17"/>
  <c r="F95" i="17"/>
  <c r="J95" i="17"/>
  <c r="L95" i="17"/>
  <c r="L93" i="17" s="1"/>
  <c r="L97" i="17" s="1"/>
  <c r="M95" i="17"/>
  <c r="M93" i="17" s="1"/>
  <c r="M97" i="17" s="1"/>
  <c r="N95" i="17"/>
  <c r="R95" i="17"/>
  <c r="V95" i="17"/>
  <c r="F99" i="17"/>
  <c r="J99" i="17"/>
  <c r="N99" i="17"/>
  <c r="R99" i="17"/>
  <c r="V99" i="17"/>
  <c r="F100" i="17"/>
  <c r="J100" i="17"/>
  <c r="N100" i="17"/>
  <c r="R100" i="17"/>
  <c r="V100" i="17"/>
  <c r="F101" i="17"/>
  <c r="J101" i="17"/>
  <c r="N101" i="17"/>
  <c r="R101" i="17"/>
  <c r="V101" i="17"/>
  <c r="F102" i="17"/>
  <c r="J102" i="17"/>
  <c r="N102" i="17"/>
  <c r="R102" i="17"/>
  <c r="V102" i="17"/>
  <c r="F103" i="17"/>
  <c r="J103" i="17"/>
  <c r="N103" i="17"/>
  <c r="R103" i="17"/>
  <c r="V103" i="17"/>
  <c r="F104" i="17"/>
  <c r="J104" i="17"/>
  <c r="N104" i="17"/>
  <c r="R104" i="17"/>
  <c r="V104" i="17"/>
  <c r="F105" i="17"/>
  <c r="J105" i="17"/>
  <c r="N105" i="17"/>
  <c r="R105" i="17"/>
  <c r="V105" i="17"/>
  <c r="F106" i="17"/>
  <c r="J106" i="17"/>
  <c r="N106" i="17"/>
  <c r="R106" i="17"/>
  <c r="V106" i="17"/>
  <c r="F107" i="17"/>
  <c r="J107" i="17"/>
  <c r="N107" i="17"/>
  <c r="R107" i="17"/>
  <c r="V107" i="17"/>
  <c r="F108" i="17"/>
  <c r="J108" i="17"/>
  <c r="N108" i="17"/>
  <c r="R108" i="17"/>
  <c r="V108" i="17"/>
  <c r="C109" i="17"/>
  <c r="D109" i="17"/>
  <c r="E109" i="17"/>
  <c r="G109" i="17"/>
  <c r="H109" i="17"/>
  <c r="I109" i="17"/>
  <c r="K109" i="17"/>
  <c r="L109" i="17"/>
  <c r="M109" i="17"/>
  <c r="O109" i="17"/>
  <c r="P109" i="17"/>
  <c r="Q109" i="17"/>
  <c r="S109" i="17"/>
  <c r="T109" i="17"/>
  <c r="U109" i="17"/>
  <c r="F111" i="17"/>
  <c r="J111" i="17"/>
  <c r="N111" i="17"/>
  <c r="R111" i="17"/>
  <c r="V111" i="17"/>
  <c r="F114" i="17"/>
  <c r="F115" i="17"/>
  <c r="F116" i="17"/>
  <c r="J115" i="17"/>
  <c r="J116" i="17"/>
  <c r="N115" i="17"/>
  <c r="N116" i="17"/>
  <c r="R115" i="17"/>
  <c r="R116" i="17"/>
  <c r="V115" i="17"/>
  <c r="V116" i="17"/>
  <c r="D7" i="11"/>
  <c r="D11" i="11" s="1"/>
  <c r="E7" i="11"/>
  <c r="E11" i="11" s="1"/>
  <c r="F7" i="11"/>
  <c r="F11" i="11" s="1"/>
  <c r="G7" i="11"/>
  <c r="H7" i="11"/>
  <c r="I7" i="11"/>
  <c r="J7" i="11"/>
  <c r="J11" i="11" s="1"/>
  <c r="G8" i="11"/>
  <c r="J8" i="17" s="1"/>
  <c r="H8" i="11"/>
  <c r="H49" i="6" s="1"/>
  <c r="H50" i="6" s="1"/>
  <c r="H51" i="6" s="1"/>
  <c r="I8" i="11"/>
  <c r="R8" i="17" s="1"/>
  <c r="D12" i="11"/>
  <c r="E12" i="11"/>
  <c r="F12" i="11"/>
  <c r="F12" i="17" s="1"/>
  <c r="G12" i="11"/>
  <c r="J12" i="17" s="1"/>
  <c r="H12" i="11"/>
  <c r="N12" i="17" s="1"/>
  <c r="I12" i="11"/>
  <c r="R12" i="17" s="1"/>
  <c r="J12" i="11"/>
  <c r="F56" i="11"/>
  <c r="F13" i="11" s="1"/>
  <c r="F13" i="17" s="1"/>
  <c r="G56" i="11"/>
  <c r="G13" i="11" s="1"/>
  <c r="J13" i="17" s="1"/>
  <c r="H56" i="11"/>
  <c r="H13" i="11" s="1"/>
  <c r="N13" i="17" s="1"/>
  <c r="I56" i="11"/>
  <c r="I13" i="11" s="1"/>
  <c r="R13" i="17" s="1"/>
  <c r="G16" i="11"/>
  <c r="J16" i="17" s="1"/>
  <c r="H16" i="11"/>
  <c r="N16" i="17" s="1"/>
  <c r="I16" i="11"/>
  <c r="R16" i="17" s="1"/>
  <c r="A27" i="11"/>
  <c r="D40" i="11"/>
  <c r="E40" i="11"/>
  <c r="F40" i="11"/>
  <c r="F40" i="17" s="1"/>
  <c r="G40" i="11"/>
  <c r="J40" i="17" s="1"/>
  <c r="H40" i="11"/>
  <c r="N40" i="17" s="1"/>
  <c r="I40" i="11"/>
  <c r="R40" i="17" s="1"/>
  <c r="D48" i="11"/>
  <c r="E48" i="11"/>
  <c r="F48" i="11"/>
  <c r="G48" i="11"/>
  <c r="H48" i="11"/>
  <c r="I48" i="11"/>
  <c r="J48" i="11"/>
  <c r="D49" i="11"/>
  <c r="E49" i="11"/>
  <c r="F49" i="11"/>
  <c r="G49" i="11"/>
  <c r="H49" i="11"/>
  <c r="I49" i="11"/>
  <c r="J49" i="11"/>
  <c r="C52" i="11"/>
  <c r="D52" i="11"/>
  <c r="E52" i="11"/>
  <c r="F52" i="11"/>
  <c r="G52" i="11"/>
  <c r="H52" i="11"/>
  <c r="I52" i="11"/>
  <c r="J52" i="11"/>
  <c r="C53" i="11"/>
  <c r="D53" i="11"/>
  <c r="E53" i="11"/>
  <c r="F53" i="11"/>
  <c r="G53" i="11"/>
  <c r="H53" i="11"/>
  <c r="I53" i="11"/>
  <c r="J53" i="11"/>
  <c r="C56" i="11"/>
  <c r="D56" i="11"/>
  <c r="E56" i="11"/>
  <c r="C109" i="11"/>
  <c r="D109" i="11"/>
  <c r="E109" i="11"/>
  <c r="F109" i="11"/>
  <c r="G109" i="11"/>
  <c r="H109" i="11"/>
  <c r="C64" i="16"/>
  <c r="C22" i="16" s="1"/>
  <c r="C65" i="16"/>
  <c r="C23" i="16" s="1"/>
  <c r="C66" i="16"/>
  <c r="C67" i="16"/>
  <c r="C69" i="16"/>
  <c r="C70" i="16"/>
  <c r="C71" i="16"/>
  <c r="C72" i="16"/>
  <c r="C73" i="16"/>
  <c r="C74" i="16"/>
  <c r="C94" i="16"/>
  <c r="C95" i="16"/>
  <c r="C24" i="16" s="1"/>
  <c r="C96" i="16"/>
  <c r="C97" i="16"/>
  <c r="C98" i="16"/>
  <c r="C99" i="16"/>
  <c r="C100" i="16"/>
  <c r="C101" i="16"/>
  <c r="C102" i="16"/>
  <c r="D68" i="16"/>
  <c r="D76" i="16" s="1"/>
  <c r="D75" i="16"/>
  <c r="D103" i="16"/>
  <c r="D104" i="16" s="1"/>
  <c r="D7" i="16" s="1"/>
  <c r="E68" i="16"/>
  <c r="E75" i="16"/>
  <c r="E103" i="16"/>
  <c r="E104" i="16" s="1"/>
  <c r="F68" i="16"/>
  <c r="F75" i="16"/>
  <c r="F76" i="16"/>
  <c r="F103" i="16"/>
  <c r="F104" i="16" s="1"/>
  <c r="G64" i="16"/>
  <c r="G22" i="16" s="1"/>
  <c r="G65" i="16"/>
  <c r="G66" i="16"/>
  <c r="G67" i="16"/>
  <c r="G69" i="16"/>
  <c r="G70" i="16"/>
  <c r="G71" i="16"/>
  <c r="G72" i="16"/>
  <c r="G73" i="16"/>
  <c r="G74" i="16"/>
  <c r="G94" i="16"/>
  <c r="G95" i="16"/>
  <c r="G96" i="16"/>
  <c r="G97" i="16"/>
  <c r="G98" i="16"/>
  <c r="G99" i="16"/>
  <c r="G100" i="16"/>
  <c r="G101" i="16"/>
  <c r="G102" i="16"/>
  <c r="H68" i="16"/>
  <c r="H75" i="16"/>
  <c r="H103" i="16"/>
  <c r="H104" i="16"/>
  <c r="I68" i="16"/>
  <c r="I76" i="16" s="1"/>
  <c r="I75" i="16"/>
  <c r="I103" i="16"/>
  <c r="I104" i="16"/>
  <c r="J68" i="16"/>
  <c r="J75" i="16"/>
  <c r="J76" i="16"/>
  <c r="J103" i="16"/>
  <c r="J104" i="16"/>
  <c r="K64" i="16"/>
  <c r="K65" i="16"/>
  <c r="K23" i="16" s="1"/>
  <c r="K66" i="16"/>
  <c r="K67" i="16"/>
  <c r="K69" i="16"/>
  <c r="K70" i="16"/>
  <c r="K71" i="16"/>
  <c r="K72" i="16"/>
  <c r="K73" i="16"/>
  <c r="K74" i="16"/>
  <c r="K94" i="16"/>
  <c r="K95" i="16"/>
  <c r="K96" i="16"/>
  <c r="K97" i="16"/>
  <c r="K98" i="16"/>
  <c r="K99" i="16"/>
  <c r="K100" i="16"/>
  <c r="K101" i="16"/>
  <c r="K102" i="16"/>
  <c r="L68" i="16"/>
  <c r="L75" i="16"/>
  <c r="L76" i="16" s="1"/>
  <c r="L103" i="16"/>
  <c r="L104" i="16" s="1"/>
  <c r="M68" i="16"/>
  <c r="M76" i="16" s="1"/>
  <c r="M7" i="16" s="1"/>
  <c r="M75" i="16"/>
  <c r="M103" i="16"/>
  <c r="M104" i="16"/>
  <c r="N68" i="16"/>
  <c r="N75" i="16"/>
  <c r="N76" i="16" s="1"/>
  <c r="N103" i="16"/>
  <c r="N104" i="16" s="1"/>
  <c r="O64" i="16"/>
  <c r="O65" i="16"/>
  <c r="O66" i="16"/>
  <c r="O67" i="16"/>
  <c r="O69" i="16"/>
  <c r="O70" i="16"/>
  <c r="O71" i="16"/>
  <c r="O72" i="16"/>
  <c r="O73" i="16"/>
  <c r="O74" i="16"/>
  <c r="O94" i="16"/>
  <c r="O95" i="16"/>
  <c r="O96" i="16"/>
  <c r="O97" i="16"/>
  <c r="O98" i="16"/>
  <c r="O99" i="16"/>
  <c r="O100" i="16"/>
  <c r="O101" i="16"/>
  <c r="O102" i="16"/>
  <c r="P68" i="16"/>
  <c r="P75" i="16"/>
  <c r="P103" i="16"/>
  <c r="P104" i="16"/>
  <c r="Q68" i="16"/>
  <c r="Q75" i="16"/>
  <c r="Q103" i="16"/>
  <c r="Q104" i="16" s="1"/>
  <c r="R68" i="16"/>
  <c r="R75" i="16"/>
  <c r="R103" i="16"/>
  <c r="R104" i="16" s="1"/>
  <c r="S64" i="16"/>
  <c r="S65" i="16"/>
  <c r="S66" i="16"/>
  <c r="S67" i="16"/>
  <c r="S69" i="16"/>
  <c r="S70" i="16"/>
  <c r="S71" i="16"/>
  <c r="S72" i="16"/>
  <c r="S73" i="16"/>
  <c r="S74" i="16"/>
  <c r="S94" i="16"/>
  <c r="S95" i="16"/>
  <c r="S24" i="16" s="1"/>
  <c r="S96" i="16"/>
  <c r="S97" i="16"/>
  <c r="S98" i="16"/>
  <c r="S99" i="16"/>
  <c r="S100" i="16"/>
  <c r="S101" i="16"/>
  <c r="S102" i="16"/>
  <c r="C84" i="16"/>
  <c r="C90" i="16"/>
  <c r="C55" i="16"/>
  <c r="C59" i="16"/>
  <c r="C39" i="16"/>
  <c r="C37" i="16"/>
  <c r="D38" i="16"/>
  <c r="D40" i="16" s="1"/>
  <c r="D36" i="16" s="1"/>
  <c r="D9" i="16" s="1"/>
  <c r="E38" i="16"/>
  <c r="E40" i="16" s="1"/>
  <c r="E36" i="16" s="1"/>
  <c r="E9" i="16" s="1"/>
  <c r="F38" i="16"/>
  <c r="F40" i="16" s="1"/>
  <c r="F36" i="16"/>
  <c r="F9" i="16" s="1"/>
  <c r="G84" i="16"/>
  <c r="G90" i="16"/>
  <c r="G55" i="16"/>
  <c r="G59" i="16"/>
  <c r="G39" i="16"/>
  <c r="G37" i="16"/>
  <c r="H38" i="16"/>
  <c r="H40" i="16"/>
  <c r="I38" i="16"/>
  <c r="I40" i="16" s="1"/>
  <c r="I36" i="16" s="1"/>
  <c r="I9" i="16" s="1"/>
  <c r="J38" i="16"/>
  <c r="J40" i="16" s="1"/>
  <c r="J36" i="16" s="1"/>
  <c r="J9" i="16" s="1"/>
  <c r="K84" i="16"/>
  <c r="K90" i="16"/>
  <c r="K55" i="16"/>
  <c r="K59" i="16"/>
  <c r="K39" i="16"/>
  <c r="K37" i="16"/>
  <c r="L38" i="16"/>
  <c r="L39" i="16"/>
  <c r="M38" i="16"/>
  <c r="M40" i="16" s="1"/>
  <c r="N38" i="16"/>
  <c r="N40" i="16"/>
  <c r="N9" i="16" s="1"/>
  <c r="O84" i="16"/>
  <c r="O90" i="16"/>
  <c r="O55" i="16"/>
  <c r="O59" i="16"/>
  <c r="O39" i="16"/>
  <c r="P38" i="16"/>
  <c r="P39" i="16"/>
  <c r="Q38" i="16"/>
  <c r="Q39" i="16"/>
  <c r="R38" i="16"/>
  <c r="R39" i="16"/>
  <c r="R40" i="16" s="1"/>
  <c r="C12" i="16"/>
  <c r="D12" i="16"/>
  <c r="E12" i="16"/>
  <c r="F12" i="16"/>
  <c r="G12" i="16"/>
  <c r="H12" i="16"/>
  <c r="I12" i="16"/>
  <c r="J12" i="16"/>
  <c r="K12" i="16"/>
  <c r="L12" i="16"/>
  <c r="M12" i="16"/>
  <c r="N12" i="16"/>
  <c r="O12" i="16"/>
  <c r="P12" i="16"/>
  <c r="Q12" i="16"/>
  <c r="R12" i="16"/>
  <c r="S12" i="16"/>
  <c r="C13" i="16"/>
  <c r="D13" i="16"/>
  <c r="E13" i="16"/>
  <c r="F13" i="16"/>
  <c r="G13" i="16"/>
  <c r="H13" i="16"/>
  <c r="I13" i="16"/>
  <c r="J13" i="16"/>
  <c r="K13" i="16"/>
  <c r="L13" i="16"/>
  <c r="M13" i="16"/>
  <c r="N13" i="16"/>
  <c r="O13" i="16"/>
  <c r="P13" i="16"/>
  <c r="Q13" i="16"/>
  <c r="R13" i="16"/>
  <c r="S13" i="16"/>
  <c r="C47" i="16"/>
  <c r="C18" i="16" s="1"/>
  <c r="C48" i="16"/>
  <c r="C50" i="16"/>
  <c r="C51" i="16"/>
  <c r="C52" i="16"/>
  <c r="C53" i="16"/>
  <c r="C17" i="16"/>
  <c r="D18" i="16"/>
  <c r="D16" i="16" s="1"/>
  <c r="D19" i="16"/>
  <c r="D20" i="16"/>
  <c r="E18" i="16"/>
  <c r="E21" i="16" s="1"/>
  <c r="E19" i="16"/>
  <c r="E20" i="16"/>
  <c r="F18" i="16"/>
  <c r="F16" i="16" s="1"/>
  <c r="F19" i="16"/>
  <c r="F20" i="16"/>
  <c r="G47" i="16"/>
  <c r="G18" i="16" s="1"/>
  <c r="G48" i="16"/>
  <c r="G19" i="16" s="1"/>
  <c r="G50" i="16"/>
  <c r="G51" i="16"/>
  <c r="G52" i="16"/>
  <c r="G53" i="16"/>
  <c r="G17" i="16"/>
  <c r="H18" i="16"/>
  <c r="H19" i="16"/>
  <c r="H20" i="16"/>
  <c r="I18" i="16"/>
  <c r="I19" i="16"/>
  <c r="I20" i="16"/>
  <c r="J18" i="16"/>
  <c r="J16" i="16" s="1"/>
  <c r="J19" i="16"/>
  <c r="J20" i="16"/>
  <c r="K47" i="16"/>
  <c r="K18" i="16" s="1"/>
  <c r="K48" i="16"/>
  <c r="K19" i="16" s="1"/>
  <c r="K50" i="16"/>
  <c r="K51" i="16"/>
  <c r="K52" i="16"/>
  <c r="K53" i="16"/>
  <c r="K17" i="16"/>
  <c r="K16" i="16" s="1"/>
  <c r="L18" i="16"/>
  <c r="L19" i="16"/>
  <c r="L20" i="16"/>
  <c r="M18" i="16"/>
  <c r="M16" i="16" s="1"/>
  <c r="M19" i="16"/>
  <c r="M20" i="16"/>
  <c r="N18" i="16"/>
  <c r="N19" i="16"/>
  <c r="N20" i="16"/>
  <c r="O47" i="16"/>
  <c r="O18" i="16" s="1"/>
  <c r="O48" i="16"/>
  <c r="O19" i="16" s="1"/>
  <c r="O50" i="16"/>
  <c r="O51" i="16"/>
  <c r="O52" i="16"/>
  <c r="O53" i="16"/>
  <c r="O17" i="16"/>
  <c r="P18" i="16"/>
  <c r="P16" i="16" s="1"/>
  <c r="P19" i="16"/>
  <c r="P20" i="16"/>
  <c r="Q18" i="16"/>
  <c r="Q19" i="16"/>
  <c r="Q20" i="16"/>
  <c r="R18" i="16"/>
  <c r="R19" i="16"/>
  <c r="R21" i="16" s="1"/>
  <c r="R15" i="16" s="1"/>
  <c r="R20" i="16"/>
  <c r="S47" i="16"/>
  <c r="S48" i="16"/>
  <c r="S19" i="16" s="1"/>
  <c r="S50" i="16"/>
  <c r="S51" i="16"/>
  <c r="S52" i="16"/>
  <c r="S53" i="16"/>
  <c r="S20" i="16" s="1"/>
  <c r="S17" i="16"/>
  <c r="E16" i="16"/>
  <c r="H16" i="16"/>
  <c r="I16" i="16"/>
  <c r="L16" i="16"/>
  <c r="R16" i="16"/>
  <c r="D22" i="16"/>
  <c r="E22" i="16"/>
  <c r="F22" i="16"/>
  <c r="F25" i="16" s="1"/>
  <c r="H22" i="16"/>
  <c r="H25" i="16" s="1"/>
  <c r="H27" i="16" s="1"/>
  <c r="I22" i="16"/>
  <c r="J22" i="16"/>
  <c r="L22" i="16"/>
  <c r="M22" i="16"/>
  <c r="N22" i="16"/>
  <c r="O22" i="16"/>
  <c r="P22" i="16"/>
  <c r="Q22" i="16"/>
  <c r="Q25" i="16" s="1"/>
  <c r="Q27" i="16" s="1"/>
  <c r="R22" i="16"/>
  <c r="S22" i="16"/>
  <c r="D23" i="16"/>
  <c r="E23" i="16"/>
  <c r="F23" i="16"/>
  <c r="G23" i="16"/>
  <c r="H23" i="16"/>
  <c r="I23" i="16"/>
  <c r="J23" i="16"/>
  <c r="L23" i="16"/>
  <c r="L25" i="16" s="1"/>
  <c r="L27" i="16" s="1"/>
  <c r="M23" i="16"/>
  <c r="N23" i="16"/>
  <c r="N25" i="16" s="1"/>
  <c r="N27" i="16" s="1"/>
  <c r="O23" i="16"/>
  <c r="P23" i="16"/>
  <c r="Q23" i="16"/>
  <c r="R23" i="16"/>
  <c r="S23" i="16"/>
  <c r="D24" i="16"/>
  <c r="E24" i="16"/>
  <c r="F24" i="16"/>
  <c r="H24" i="16"/>
  <c r="I24" i="16"/>
  <c r="J24" i="16"/>
  <c r="K24" i="16"/>
  <c r="L24" i="16"/>
  <c r="M24" i="16"/>
  <c r="N24" i="16"/>
  <c r="O24" i="16"/>
  <c r="P24" i="16"/>
  <c r="Q24" i="16"/>
  <c r="R24" i="16"/>
  <c r="E25" i="16"/>
  <c r="E27" i="16" s="1"/>
  <c r="M25" i="16"/>
  <c r="C56" i="16"/>
  <c r="C58" i="16"/>
  <c r="C60" i="16"/>
  <c r="C61" i="16" s="1"/>
  <c r="C85" i="16"/>
  <c r="C89" i="16"/>
  <c r="C91" i="16"/>
  <c r="D26" i="16"/>
  <c r="E26" i="16"/>
  <c r="F26" i="16"/>
  <c r="G56" i="16"/>
  <c r="G57" i="16" s="1"/>
  <c r="G58" i="16"/>
  <c r="G60" i="16"/>
  <c r="G61" i="16" s="1"/>
  <c r="G85" i="16"/>
  <c r="G89" i="16"/>
  <c r="G91" i="16"/>
  <c r="G92" i="16" s="1"/>
  <c r="H26" i="16"/>
  <c r="I26" i="16"/>
  <c r="J26" i="16"/>
  <c r="K56" i="16"/>
  <c r="K58" i="16"/>
  <c r="K60" i="16"/>
  <c r="K61" i="16" s="1"/>
  <c r="K85" i="16"/>
  <c r="K89" i="16"/>
  <c r="K91" i="16"/>
  <c r="L26" i="16"/>
  <c r="M26" i="16"/>
  <c r="N26" i="16"/>
  <c r="O56" i="16"/>
  <c r="O58" i="16"/>
  <c r="O60" i="16"/>
  <c r="O85" i="16"/>
  <c r="O89" i="16"/>
  <c r="O91" i="16"/>
  <c r="O92" i="16" s="1"/>
  <c r="P26" i="16"/>
  <c r="Q26" i="16"/>
  <c r="R26" i="16"/>
  <c r="S56" i="16"/>
  <c r="S58" i="16"/>
  <c r="S60" i="16"/>
  <c r="S85" i="16"/>
  <c r="S89" i="16"/>
  <c r="S91" i="16"/>
  <c r="F27" i="16"/>
  <c r="C77" i="16"/>
  <c r="C105" i="16"/>
  <c r="D29" i="16"/>
  <c r="E29" i="16"/>
  <c r="F29" i="16"/>
  <c r="G77" i="16"/>
  <c r="G105" i="16"/>
  <c r="H29" i="16"/>
  <c r="I29" i="16"/>
  <c r="J29" i="16"/>
  <c r="K77" i="16"/>
  <c r="K105" i="16"/>
  <c r="L29" i="16"/>
  <c r="M29" i="16"/>
  <c r="N29" i="16"/>
  <c r="O77" i="16"/>
  <c r="O105" i="16"/>
  <c r="P29" i="16"/>
  <c r="Q29" i="16"/>
  <c r="R29" i="16"/>
  <c r="S77" i="16"/>
  <c r="S105" i="16"/>
  <c r="C108" i="16"/>
  <c r="C109" i="16"/>
  <c r="C110" i="16"/>
  <c r="C112" i="16"/>
  <c r="C113" i="16"/>
  <c r="D111" i="16"/>
  <c r="D115" i="16" s="1"/>
  <c r="D32" i="16" s="1"/>
  <c r="D114" i="16"/>
  <c r="E111" i="16"/>
  <c r="E114" i="16"/>
  <c r="F111" i="16"/>
  <c r="F114" i="16"/>
  <c r="F115" i="16"/>
  <c r="F32" i="16" s="1"/>
  <c r="G108" i="16"/>
  <c r="G109" i="16"/>
  <c r="G110" i="16"/>
  <c r="G112" i="16"/>
  <c r="G113" i="16"/>
  <c r="H111" i="16"/>
  <c r="H114" i="16"/>
  <c r="I111" i="16"/>
  <c r="I114" i="16"/>
  <c r="J111" i="16"/>
  <c r="J115" i="16" s="1"/>
  <c r="J32" i="16" s="1"/>
  <c r="J114" i="16"/>
  <c r="K108" i="16"/>
  <c r="K109" i="16"/>
  <c r="K110" i="16"/>
  <c r="K112" i="16"/>
  <c r="K113" i="16"/>
  <c r="K114" i="16" s="1"/>
  <c r="L111" i="16"/>
  <c r="L114" i="16"/>
  <c r="M111" i="16"/>
  <c r="M114" i="16"/>
  <c r="N111" i="16"/>
  <c r="N114" i="16"/>
  <c r="N115" i="16"/>
  <c r="N32" i="16" s="1"/>
  <c r="O108" i="16"/>
  <c r="O109" i="16"/>
  <c r="O110" i="16"/>
  <c r="O112" i="16"/>
  <c r="O113" i="16"/>
  <c r="P111" i="16"/>
  <c r="P114" i="16"/>
  <c r="Q111" i="16"/>
  <c r="Q115" i="16" s="1"/>
  <c r="Q32" i="16" s="1"/>
  <c r="Q114" i="16"/>
  <c r="R111" i="16"/>
  <c r="R115" i="16" s="1"/>
  <c r="R32" i="16" s="1"/>
  <c r="R114" i="16"/>
  <c r="S108" i="16"/>
  <c r="S109" i="16"/>
  <c r="S110" i="16"/>
  <c r="S112" i="16"/>
  <c r="S113" i="16"/>
  <c r="C54" i="16"/>
  <c r="C33" i="16" s="1"/>
  <c r="C86" i="16"/>
  <c r="C87" i="16"/>
  <c r="C88" i="16"/>
  <c r="D35" i="16"/>
  <c r="E35" i="16"/>
  <c r="G54" i="16"/>
  <c r="G86" i="16"/>
  <c r="G87" i="16"/>
  <c r="G88" i="16"/>
  <c r="H35" i="16"/>
  <c r="I35" i="16"/>
  <c r="J35" i="16"/>
  <c r="K54" i="16"/>
  <c r="K86" i="16"/>
  <c r="K87" i="16"/>
  <c r="K88" i="16"/>
  <c r="N41" i="16"/>
  <c r="O54" i="16"/>
  <c r="O86" i="16"/>
  <c r="O87" i="16"/>
  <c r="O88" i="16"/>
  <c r="S54" i="16"/>
  <c r="S86" i="16"/>
  <c r="S87" i="16"/>
  <c r="S88" i="16"/>
  <c r="C34" i="16"/>
  <c r="G34" i="16"/>
  <c r="K34" i="16"/>
  <c r="L34" i="16"/>
  <c r="L35" i="16" s="1"/>
  <c r="O34" i="16"/>
  <c r="P34" i="16"/>
  <c r="P35" i="16" s="1"/>
  <c r="Q34" i="16"/>
  <c r="Q35" i="16" s="1"/>
  <c r="R34" i="16"/>
  <c r="R35" i="16" s="1"/>
  <c r="S34" i="16"/>
  <c r="F35" i="16"/>
  <c r="O37" i="16"/>
  <c r="S37" i="16"/>
  <c r="S84" i="16"/>
  <c r="S90" i="16"/>
  <c r="S55" i="16"/>
  <c r="S59" i="16"/>
  <c r="S39" i="16"/>
  <c r="C44" i="16"/>
  <c r="D44" i="16"/>
  <c r="E44" i="16"/>
  <c r="F44" i="16"/>
  <c r="G44" i="16"/>
  <c r="H44" i="16"/>
  <c r="I44" i="16"/>
  <c r="J44" i="16"/>
  <c r="K44" i="16"/>
  <c r="L44" i="16"/>
  <c r="M44" i="16"/>
  <c r="N44" i="16"/>
  <c r="O44" i="16"/>
  <c r="P44" i="16"/>
  <c r="Q44" i="16"/>
  <c r="R44" i="16"/>
  <c r="S44" i="16"/>
  <c r="C45" i="16"/>
  <c r="D45" i="16"/>
  <c r="E45" i="16"/>
  <c r="F45" i="16"/>
  <c r="G45" i="16"/>
  <c r="H45" i="16"/>
  <c r="I45" i="16"/>
  <c r="J45" i="16"/>
  <c r="K45" i="16"/>
  <c r="L45" i="16"/>
  <c r="M45" i="16"/>
  <c r="N45" i="16"/>
  <c r="O45" i="16"/>
  <c r="P45" i="16"/>
  <c r="Q45" i="16"/>
  <c r="R45" i="16"/>
  <c r="S45" i="16"/>
  <c r="C49" i="16"/>
  <c r="G49" i="16"/>
  <c r="K49" i="16"/>
  <c r="O49" i="16"/>
  <c r="S49" i="16"/>
  <c r="D57" i="16"/>
  <c r="D63" i="16" s="1"/>
  <c r="E57" i="16"/>
  <c r="F57" i="16"/>
  <c r="H57" i="16"/>
  <c r="I57" i="16"/>
  <c r="I63" i="16" s="1"/>
  <c r="J57" i="16"/>
  <c r="L57" i="16"/>
  <c r="M57" i="16"/>
  <c r="N57" i="16"/>
  <c r="P57" i="16"/>
  <c r="P63" i="16" s="1"/>
  <c r="Q57" i="16"/>
  <c r="R57" i="16"/>
  <c r="R63" i="16" s="1"/>
  <c r="D61" i="16"/>
  <c r="E61" i="16"/>
  <c r="E63" i="16" s="1"/>
  <c r="F61" i="16"/>
  <c r="H61" i="16"/>
  <c r="I61" i="16"/>
  <c r="J61" i="16"/>
  <c r="J63" i="16" s="1"/>
  <c r="J78" i="16" s="1"/>
  <c r="L61" i="16"/>
  <c r="M61" i="16"/>
  <c r="N61" i="16"/>
  <c r="P61" i="16"/>
  <c r="Q61" i="16"/>
  <c r="R61" i="16"/>
  <c r="C62" i="16"/>
  <c r="G62" i="16"/>
  <c r="K62" i="16"/>
  <c r="O62" i="16"/>
  <c r="S62" i="16"/>
  <c r="H63" i="16"/>
  <c r="M63" i="16"/>
  <c r="Q63" i="16"/>
  <c r="D78" i="16"/>
  <c r="C81" i="16"/>
  <c r="D81" i="16"/>
  <c r="E81" i="16"/>
  <c r="F81" i="16"/>
  <c r="G81" i="16"/>
  <c r="H81" i="16"/>
  <c r="I81" i="16"/>
  <c r="J81" i="16"/>
  <c r="K81" i="16"/>
  <c r="L81" i="16"/>
  <c r="M81" i="16"/>
  <c r="N81" i="16"/>
  <c r="O81" i="16"/>
  <c r="P81" i="16"/>
  <c r="Q81" i="16"/>
  <c r="R81" i="16"/>
  <c r="S81" i="16"/>
  <c r="C82" i="16"/>
  <c r="D82" i="16"/>
  <c r="E82" i="16"/>
  <c r="F82" i="16"/>
  <c r="G82" i="16"/>
  <c r="H82" i="16"/>
  <c r="I82" i="16"/>
  <c r="J82" i="16"/>
  <c r="K82" i="16"/>
  <c r="L82" i="16"/>
  <c r="M82" i="16"/>
  <c r="N82" i="16"/>
  <c r="O82" i="16"/>
  <c r="P82" i="16"/>
  <c r="Q82" i="16"/>
  <c r="R82" i="16"/>
  <c r="S82" i="16"/>
  <c r="D92" i="16"/>
  <c r="D93" i="16" s="1"/>
  <c r="D106" i="16" s="1"/>
  <c r="E92" i="16"/>
  <c r="E93" i="16" s="1"/>
  <c r="E106" i="16" s="1"/>
  <c r="F92" i="16"/>
  <c r="F93" i="16" s="1"/>
  <c r="H92" i="16"/>
  <c r="I92" i="16"/>
  <c r="I93" i="16" s="1"/>
  <c r="I106" i="16" s="1"/>
  <c r="J92" i="16"/>
  <c r="L92" i="16"/>
  <c r="L93" i="16" s="1"/>
  <c r="L106" i="16" s="1"/>
  <c r="M92" i="16"/>
  <c r="M93" i="16" s="1"/>
  <c r="M106" i="16" s="1"/>
  <c r="N92" i="16"/>
  <c r="N93" i="16" s="1"/>
  <c r="N106" i="16" s="1"/>
  <c r="N117" i="16" s="1"/>
  <c r="P92" i="16"/>
  <c r="P93" i="16" s="1"/>
  <c r="P106" i="16" s="1"/>
  <c r="Q92" i="16"/>
  <c r="Q93" i="16" s="1"/>
  <c r="R92" i="16"/>
  <c r="H93" i="16"/>
  <c r="H106" i="16" s="1"/>
  <c r="J93" i="16"/>
  <c r="R93" i="16"/>
  <c r="R106" i="16" s="1"/>
  <c r="C68" i="1"/>
  <c r="C75" i="1"/>
  <c r="C103" i="1"/>
  <c r="C104" i="1" s="1"/>
  <c r="D68" i="1"/>
  <c r="D75" i="1"/>
  <c r="D103" i="1"/>
  <c r="D104" i="1" s="1"/>
  <c r="E68" i="1"/>
  <c r="E75" i="1"/>
  <c r="E103" i="1"/>
  <c r="E104" i="1" s="1"/>
  <c r="F68" i="1"/>
  <c r="F75" i="1"/>
  <c r="F103" i="1"/>
  <c r="F104" i="1" s="1"/>
  <c r="G68" i="1"/>
  <c r="G75" i="1"/>
  <c r="G103" i="1"/>
  <c r="G104" i="1" s="1"/>
  <c r="H68" i="1"/>
  <c r="H75" i="1"/>
  <c r="H103" i="1"/>
  <c r="H104" i="1" s="1"/>
  <c r="I68" i="1"/>
  <c r="I76" i="1" s="1"/>
  <c r="I75" i="1"/>
  <c r="I103" i="1"/>
  <c r="I104" i="1" s="1"/>
  <c r="J68" i="1"/>
  <c r="J75" i="1"/>
  <c r="J103" i="1"/>
  <c r="J104" i="1" s="1"/>
  <c r="C38" i="1"/>
  <c r="C40" i="1" s="1"/>
  <c r="C36" i="1" s="1"/>
  <c r="D38" i="1"/>
  <c r="D40" i="1" s="1"/>
  <c r="D36" i="1" s="1"/>
  <c r="E38" i="1"/>
  <c r="E40" i="1" s="1"/>
  <c r="E36" i="1" s="1"/>
  <c r="F38" i="1"/>
  <c r="F40" i="1" s="1"/>
  <c r="F36" i="1" s="1"/>
  <c r="G38" i="1"/>
  <c r="G40" i="1" s="1"/>
  <c r="G36" i="1" s="1"/>
  <c r="H26" i="11" s="1"/>
  <c r="H38" i="1"/>
  <c r="H40" i="1" s="1"/>
  <c r="H36" i="1" s="1"/>
  <c r="H9" i="1" s="1"/>
  <c r="H53" i="6" s="1"/>
  <c r="H54" i="6" s="1"/>
  <c r="I38" i="1"/>
  <c r="I40" i="1" s="1"/>
  <c r="J38" i="1"/>
  <c r="J40" i="1" s="1"/>
  <c r="J36" i="1" s="1"/>
  <c r="C12" i="1"/>
  <c r="D12" i="1"/>
  <c r="E12" i="1"/>
  <c r="F12" i="1"/>
  <c r="G12" i="1"/>
  <c r="H12" i="1"/>
  <c r="I12" i="1"/>
  <c r="J12" i="1"/>
  <c r="C13" i="1"/>
  <c r="D13" i="1"/>
  <c r="E13" i="1"/>
  <c r="F13" i="1"/>
  <c r="G13" i="1"/>
  <c r="H13" i="1"/>
  <c r="I13" i="1"/>
  <c r="J13" i="1"/>
  <c r="C18" i="1"/>
  <c r="C16" i="1" s="1"/>
  <c r="C19" i="1"/>
  <c r="C20" i="1"/>
  <c r="D18" i="1"/>
  <c r="D16" i="1" s="1"/>
  <c r="D19" i="1"/>
  <c r="D20" i="1"/>
  <c r="E18" i="1"/>
  <c r="E16" i="1" s="1"/>
  <c r="E19" i="1"/>
  <c r="E20" i="1"/>
  <c r="F18" i="1"/>
  <c r="F19" i="1"/>
  <c r="F20" i="1"/>
  <c r="G18" i="1"/>
  <c r="G19" i="1"/>
  <c r="G20" i="1"/>
  <c r="H18" i="1"/>
  <c r="H16" i="1" s="1"/>
  <c r="H19" i="1"/>
  <c r="H20" i="1"/>
  <c r="I18" i="1"/>
  <c r="I16" i="1" s="1"/>
  <c r="I19" i="1"/>
  <c r="I20" i="1"/>
  <c r="J18" i="1"/>
  <c r="J16" i="1" s="1"/>
  <c r="J19" i="1"/>
  <c r="J21" i="1" s="1"/>
  <c r="J20" i="1"/>
  <c r="C22" i="1"/>
  <c r="D22" i="1"/>
  <c r="E22" i="1"/>
  <c r="F22" i="1"/>
  <c r="G22" i="1"/>
  <c r="H22" i="1"/>
  <c r="I22" i="1"/>
  <c r="J22" i="1"/>
  <c r="C23" i="1"/>
  <c r="D23" i="1"/>
  <c r="E23" i="1"/>
  <c r="F23" i="1"/>
  <c r="G23" i="1"/>
  <c r="H23" i="1"/>
  <c r="I23" i="1"/>
  <c r="J23" i="1"/>
  <c r="C24" i="1"/>
  <c r="D24" i="1"/>
  <c r="E24" i="1"/>
  <c r="E25" i="1" s="1"/>
  <c r="F24" i="1"/>
  <c r="G24" i="1"/>
  <c r="H24" i="1"/>
  <c r="I24" i="1"/>
  <c r="J24" i="1"/>
  <c r="C25" i="1"/>
  <c r="D25" i="1"/>
  <c r="D27" i="1" s="1"/>
  <c r="C26" i="1"/>
  <c r="D26" i="1"/>
  <c r="E26" i="1"/>
  <c r="F26" i="1"/>
  <c r="G26" i="1"/>
  <c r="H26" i="1"/>
  <c r="I26" i="1"/>
  <c r="J26" i="1"/>
  <c r="D29" i="1"/>
  <c r="E29" i="1"/>
  <c r="F29" i="1"/>
  <c r="G29" i="1"/>
  <c r="H29" i="1"/>
  <c r="I29" i="1"/>
  <c r="J29" i="1"/>
  <c r="C111" i="1"/>
  <c r="C114" i="1"/>
  <c r="D111" i="1"/>
  <c r="D114" i="1"/>
  <c r="E111" i="1"/>
  <c r="E114" i="1"/>
  <c r="F111" i="1"/>
  <c r="F114" i="1"/>
  <c r="G111" i="1"/>
  <c r="G114" i="1"/>
  <c r="H111" i="1"/>
  <c r="H114" i="1"/>
  <c r="I111" i="1"/>
  <c r="I114" i="1"/>
  <c r="J111" i="1"/>
  <c r="J114" i="1"/>
  <c r="F35" i="1"/>
  <c r="G35" i="1"/>
  <c r="H35" i="1"/>
  <c r="I35" i="1"/>
  <c r="J35" i="1"/>
  <c r="C35" i="1"/>
  <c r="D35" i="1"/>
  <c r="E35" i="1"/>
  <c r="C44" i="1"/>
  <c r="D44" i="1"/>
  <c r="E44" i="1"/>
  <c r="F44" i="1"/>
  <c r="G44" i="1"/>
  <c r="H44" i="1"/>
  <c r="I44" i="1"/>
  <c r="J44" i="1"/>
  <c r="C45" i="1"/>
  <c r="D45" i="1"/>
  <c r="E45" i="1"/>
  <c r="F45" i="1"/>
  <c r="G45" i="1"/>
  <c r="H45" i="1"/>
  <c r="I45" i="1"/>
  <c r="J45" i="1"/>
  <c r="C57" i="1"/>
  <c r="D57" i="1"/>
  <c r="E57" i="1"/>
  <c r="F57" i="1"/>
  <c r="F63" i="1" s="1"/>
  <c r="G57" i="1"/>
  <c r="G63" i="1" s="1"/>
  <c r="H57" i="1"/>
  <c r="I57" i="1"/>
  <c r="J57" i="1"/>
  <c r="J63" i="1" s="1"/>
  <c r="C61" i="1"/>
  <c r="D61" i="1"/>
  <c r="D63" i="1" s="1"/>
  <c r="E61" i="1"/>
  <c r="F61" i="1"/>
  <c r="G61" i="1"/>
  <c r="H61" i="1"/>
  <c r="I61" i="1"/>
  <c r="J61" i="1"/>
  <c r="E63" i="1"/>
  <c r="C81" i="1"/>
  <c r="D81" i="1"/>
  <c r="E81" i="1"/>
  <c r="F81" i="1"/>
  <c r="G81" i="1"/>
  <c r="H81" i="1"/>
  <c r="I81" i="1"/>
  <c r="J81" i="1"/>
  <c r="C82" i="1"/>
  <c r="D82" i="1"/>
  <c r="E82" i="1"/>
  <c r="F82" i="1"/>
  <c r="G82" i="1"/>
  <c r="H82" i="1"/>
  <c r="I82" i="1"/>
  <c r="J82" i="1"/>
  <c r="C92" i="1"/>
  <c r="D92" i="1"/>
  <c r="E92" i="1"/>
  <c r="E93" i="1" s="1"/>
  <c r="E106" i="1" s="1"/>
  <c r="F92" i="1"/>
  <c r="G92" i="1"/>
  <c r="G93" i="1" s="1"/>
  <c r="H92" i="1"/>
  <c r="H93" i="1" s="1"/>
  <c r="I92" i="1"/>
  <c r="J92" i="1"/>
  <c r="C93" i="1"/>
  <c r="D93" i="1"/>
  <c r="D106" i="1" s="1"/>
  <c r="F93" i="1"/>
  <c r="I93" i="1"/>
  <c r="J93" i="1"/>
  <c r="D9" i="15"/>
  <c r="F9" i="15"/>
  <c r="I9" i="15"/>
  <c r="H9" i="15"/>
  <c r="K9" i="15"/>
  <c r="M9" i="15"/>
  <c r="P9" i="15"/>
  <c r="O9" i="15" s="1"/>
  <c r="R9" i="15"/>
  <c r="T9" i="15"/>
  <c r="W9" i="15"/>
  <c r="V9" i="15"/>
  <c r="Y9" i="15"/>
  <c r="AA9" i="15"/>
  <c r="AD9" i="15"/>
  <c r="AC9" i="15" s="1"/>
  <c r="D11" i="15"/>
  <c r="F11" i="15"/>
  <c r="I11" i="15"/>
  <c r="H11" i="15"/>
  <c r="K11" i="15"/>
  <c r="M11" i="15"/>
  <c r="P11" i="15"/>
  <c r="O11" i="15" s="1"/>
  <c r="R11" i="15"/>
  <c r="T11" i="15"/>
  <c r="W11" i="15"/>
  <c r="V11" i="15"/>
  <c r="Y11" i="15"/>
  <c r="AA11" i="15"/>
  <c r="AD11" i="15"/>
  <c r="AC11" i="15" s="1"/>
  <c r="D13" i="15"/>
  <c r="F13" i="15"/>
  <c r="I13" i="15"/>
  <c r="H13" i="15"/>
  <c r="K13" i="15"/>
  <c r="M13" i="15"/>
  <c r="P13" i="15"/>
  <c r="O13" i="15" s="1"/>
  <c r="R13" i="15"/>
  <c r="T13" i="15"/>
  <c r="W13" i="15"/>
  <c r="V13" i="15"/>
  <c r="Y13" i="15"/>
  <c r="AA13" i="15"/>
  <c r="AD13" i="15"/>
  <c r="AC13" i="15" s="1"/>
  <c r="C15" i="15"/>
  <c r="E15" i="15"/>
  <c r="G15" i="15"/>
  <c r="F15" i="15" s="1"/>
  <c r="J15" i="15"/>
  <c r="L15" i="15"/>
  <c r="N15" i="15"/>
  <c r="M15" i="15"/>
  <c r="Q15" i="15"/>
  <c r="S15" i="15"/>
  <c r="U15" i="15"/>
  <c r="D17" i="15"/>
  <c r="F17" i="15"/>
  <c r="I17" i="15"/>
  <c r="H17" i="15" s="1"/>
  <c r="K17" i="15"/>
  <c r="M17" i="15"/>
  <c r="P17" i="15"/>
  <c r="O17" i="15" s="1"/>
  <c r="R17" i="15"/>
  <c r="T17" i="15"/>
  <c r="W17" i="15"/>
  <c r="V17" i="15"/>
  <c r="Y17" i="15"/>
  <c r="AA17" i="15"/>
  <c r="AD17" i="15"/>
  <c r="AC17" i="15" s="1"/>
  <c r="D19" i="15"/>
  <c r="F19" i="15"/>
  <c r="I19" i="15"/>
  <c r="H19" i="15"/>
  <c r="K19" i="15"/>
  <c r="M19" i="15"/>
  <c r="P19" i="15"/>
  <c r="O19" i="15" s="1"/>
  <c r="R19" i="15"/>
  <c r="T19" i="15"/>
  <c r="W19" i="15"/>
  <c r="V19" i="15"/>
  <c r="Y19" i="15"/>
  <c r="AA19" i="15"/>
  <c r="AD19" i="15"/>
  <c r="AC19" i="15" s="1"/>
  <c r="D21" i="15"/>
  <c r="F21" i="15"/>
  <c r="I21" i="15"/>
  <c r="H21" i="15" s="1"/>
  <c r="K21" i="15"/>
  <c r="M21" i="15"/>
  <c r="P21" i="15"/>
  <c r="O21" i="15" s="1"/>
  <c r="R21" i="15"/>
  <c r="T21" i="15"/>
  <c r="W21" i="15"/>
  <c r="V21" i="15"/>
  <c r="Y21" i="15"/>
  <c r="AA21" i="15"/>
  <c r="AD21" i="15"/>
  <c r="AC21" i="15" s="1"/>
  <c r="D23" i="15"/>
  <c r="F23" i="15"/>
  <c r="I23" i="15"/>
  <c r="H23" i="15" s="1"/>
  <c r="K23" i="15"/>
  <c r="M23" i="15"/>
  <c r="P23" i="15"/>
  <c r="O23" i="15" s="1"/>
  <c r="R23" i="15"/>
  <c r="T23" i="15"/>
  <c r="W23" i="15"/>
  <c r="V23" i="15"/>
  <c r="Y23" i="15"/>
  <c r="AA23" i="15"/>
  <c r="AD23" i="15"/>
  <c r="AC23" i="15" s="1"/>
  <c r="C15" i="10"/>
  <c r="D15" i="10"/>
  <c r="E15" i="10"/>
  <c r="F15" i="10"/>
  <c r="G15" i="10"/>
  <c r="H15" i="10"/>
  <c r="I7" i="13"/>
  <c r="P7" i="13"/>
  <c r="W7" i="13"/>
  <c r="AD7" i="13"/>
  <c r="AK7" i="13"/>
  <c r="I8" i="13"/>
  <c r="P8" i="13"/>
  <c r="W8" i="13"/>
  <c r="AD8" i="13"/>
  <c r="AK8" i="13"/>
  <c r="I9" i="13"/>
  <c r="P9" i="13"/>
  <c r="W9" i="13"/>
  <c r="AD9" i="13"/>
  <c r="AK9" i="13"/>
  <c r="I11" i="13"/>
  <c r="P11" i="13"/>
  <c r="W11" i="13"/>
  <c r="AD11" i="13"/>
  <c r="AD17" i="13" s="1"/>
  <c r="AK11" i="13"/>
  <c r="I13" i="13"/>
  <c r="P13" i="13"/>
  <c r="W13" i="13"/>
  <c r="AD13" i="13"/>
  <c r="AK13" i="13"/>
  <c r="AK17" i="13" s="1"/>
  <c r="I15" i="13"/>
  <c r="P15" i="13"/>
  <c r="W15" i="13"/>
  <c r="AD15" i="13"/>
  <c r="AK15" i="13"/>
  <c r="J17" i="13"/>
  <c r="K17" i="13"/>
  <c r="L17" i="13"/>
  <c r="M17" i="13"/>
  <c r="N17" i="13"/>
  <c r="O17" i="13"/>
  <c r="Q17" i="13"/>
  <c r="R17" i="13"/>
  <c r="S17" i="13"/>
  <c r="T17" i="13"/>
  <c r="U17" i="13"/>
  <c r="V17" i="13"/>
  <c r="X17" i="13"/>
  <c r="Y17" i="13"/>
  <c r="Z17" i="13"/>
  <c r="AA17" i="13"/>
  <c r="AB17" i="13"/>
  <c r="AC17" i="13"/>
  <c r="AE17" i="13"/>
  <c r="AF17" i="13"/>
  <c r="AG17" i="13"/>
  <c r="AH17" i="13"/>
  <c r="AI17" i="13"/>
  <c r="AJ17" i="13"/>
  <c r="I20" i="13"/>
  <c r="J20" i="13"/>
  <c r="K20" i="13"/>
  <c r="L20" i="13"/>
  <c r="M20" i="13"/>
  <c r="N20" i="13"/>
  <c r="O20" i="13"/>
  <c r="P20" i="13"/>
  <c r="Q20" i="13"/>
  <c r="R20" i="13"/>
  <c r="S20" i="13"/>
  <c r="T20" i="13"/>
  <c r="U20" i="13"/>
  <c r="V20" i="13"/>
  <c r="W20" i="13"/>
  <c r="X20" i="13"/>
  <c r="Y20" i="13"/>
  <c r="Z20" i="13"/>
  <c r="AA20" i="13"/>
  <c r="AB20" i="13"/>
  <c r="AC20" i="13"/>
  <c r="AD20" i="13"/>
  <c r="AE20" i="13"/>
  <c r="AF20" i="13"/>
  <c r="AG20" i="13"/>
  <c r="AH20" i="13"/>
  <c r="AI20" i="13"/>
  <c r="I21" i="13"/>
  <c r="J21" i="13"/>
  <c r="K21" i="13"/>
  <c r="L21" i="13"/>
  <c r="M21" i="13"/>
  <c r="N21" i="13"/>
  <c r="O21" i="13"/>
  <c r="P21" i="13"/>
  <c r="Q21" i="13"/>
  <c r="R21" i="13"/>
  <c r="S21" i="13"/>
  <c r="T21" i="13"/>
  <c r="U21" i="13"/>
  <c r="V21" i="13"/>
  <c r="W21" i="13"/>
  <c r="X21" i="13"/>
  <c r="Y21" i="13"/>
  <c r="Z21" i="13"/>
  <c r="AA21" i="13"/>
  <c r="AB21" i="13"/>
  <c r="AC21" i="13"/>
  <c r="AD21" i="13"/>
  <c r="AE21" i="13"/>
  <c r="AF21" i="13"/>
  <c r="AG21" i="13"/>
  <c r="AH21" i="13"/>
  <c r="AI21" i="13"/>
  <c r="D23" i="13"/>
  <c r="F23" i="13"/>
  <c r="H23" i="13"/>
  <c r="K23" i="13"/>
  <c r="M23" i="13"/>
  <c r="O23" i="13"/>
  <c r="R23" i="13"/>
  <c r="T23" i="13"/>
  <c r="W23" i="13"/>
  <c r="V23" i="13" s="1"/>
  <c r="Y23" i="13"/>
  <c r="AA23" i="13"/>
  <c r="AD23" i="13"/>
  <c r="AC23" i="13" s="1"/>
  <c r="AF23" i="13"/>
  <c r="AH23" i="13"/>
  <c r="C65" i="13"/>
  <c r="C38" i="13" s="1"/>
  <c r="C24" i="13" s="1"/>
  <c r="E65" i="13"/>
  <c r="E38" i="13" s="1"/>
  <c r="G65" i="13"/>
  <c r="G57" i="13" s="1"/>
  <c r="I47" i="13"/>
  <c r="I50" i="13"/>
  <c r="I56" i="13"/>
  <c r="I53" i="13"/>
  <c r="H53" i="13" s="1"/>
  <c r="I59" i="13"/>
  <c r="H59" i="13" s="1"/>
  <c r="I62" i="13"/>
  <c r="J65" i="13"/>
  <c r="J57" i="13" s="1"/>
  <c r="L65" i="13"/>
  <c r="L48" i="13" s="1"/>
  <c r="N65" i="13"/>
  <c r="N63" i="13" s="1"/>
  <c r="P47" i="13"/>
  <c r="P50" i="13"/>
  <c r="P56" i="13"/>
  <c r="P53" i="13"/>
  <c r="O53" i="13" s="1"/>
  <c r="P59" i="13"/>
  <c r="O59" i="13" s="1"/>
  <c r="P62" i="13"/>
  <c r="Q38" i="13"/>
  <c r="R26" i="13"/>
  <c r="R29" i="13"/>
  <c r="R32" i="13"/>
  <c r="R35" i="13"/>
  <c r="S38" i="13"/>
  <c r="S36" i="13" s="1"/>
  <c r="S24" i="13"/>
  <c r="T26" i="13"/>
  <c r="T29" i="13"/>
  <c r="T32" i="13"/>
  <c r="T35" i="13"/>
  <c r="U38" i="13"/>
  <c r="W26" i="13"/>
  <c r="W29" i="13"/>
  <c r="V29" i="13"/>
  <c r="W32" i="13"/>
  <c r="V32" i="13"/>
  <c r="W35" i="13"/>
  <c r="X38" i="13"/>
  <c r="X24" i="13" s="1"/>
  <c r="Y26" i="13"/>
  <c r="Y29" i="13"/>
  <c r="Y32" i="13"/>
  <c r="Y35" i="13"/>
  <c r="Z38" i="13"/>
  <c r="Z30" i="13" s="1"/>
  <c r="Z24" i="13"/>
  <c r="AA26" i="13"/>
  <c r="AA29" i="13"/>
  <c r="AA32" i="13"/>
  <c r="AA35" i="13"/>
  <c r="AB38" i="13"/>
  <c r="AB30" i="13" s="1"/>
  <c r="AD26" i="13"/>
  <c r="AD38" i="13" s="1"/>
  <c r="AC26" i="13"/>
  <c r="AD29" i="13"/>
  <c r="AD32" i="13"/>
  <c r="AC32" i="13"/>
  <c r="AD35" i="13"/>
  <c r="AC35" i="13"/>
  <c r="AE38" i="13"/>
  <c r="AE33" i="13" s="1"/>
  <c r="AF26" i="13"/>
  <c r="AF29" i="13"/>
  <c r="AF32" i="13"/>
  <c r="AF35" i="13"/>
  <c r="AG38" i="13"/>
  <c r="AG65" i="13" s="1"/>
  <c r="AH26" i="13"/>
  <c r="AH29" i="13"/>
  <c r="AH32" i="13"/>
  <c r="AH35" i="13"/>
  <c r="AI38" i="13"/>
  <c r="AI30" i="13" s="1"/>
  <c r="AI24" i="13"/>
  <c r="D26" i="13"/>
  <c r="F26" i="13"/>
  <c r="H26" i="13"/>
  <c r="K26" i="13"/>
  <c r="M26" i="13"/>
  <c r="O26" i="13"/>
  <c r="X27" i="13"/>
  <c r="Z27" i="13"/>
  <c r="AE27" i="13"/>
  <c r="D29" i="13"/>
  <c r="F29" i="13"/>
  <c r="H29" i="13"/>
  <c r="K29" i="13"/>
  <c r="M29" i="13"/>
  <c r="O29" i="13"/>
  <c r="U30" i="13"/>
  <c r="X30" i="13"/>
  <c r="AE30" i="13"/>
  <c r="D32" i="13"/>
  <c r="F32" i="13"/>
  <c r="H32" i="13"/>
  <c r="K32" i="13"/>
  <c r="M32" i="13"/>
  <c r="O32" i="13"/>
  <c r="X33" i="13"/>
  <c r="Z33" i="13"/>
  <c r="AG33" i="13"/>
  <c r="D35" i="13"/>
  <c r="F35" i="13"/>
  <c r="H35" i="13"/>
  <c r="K35" i="13"/>
  <c r="M35" i="13"/>
  <c r="O35" i="13"/>
  <c r="X36" i="13"/>
  <c r="Z36" i="13"/>
  <c r="AE36" i="13"/>
  <c r="AI36" i="13"/>
  <c r="C40" i="13"/>
  <c r="Q40" i="13"/>
  <c r="X40" i="13"/>
  <c r="Z40" i="13"/>
  <c r="Q41" i="13"/>
  <c r="U41" i="13"/>
  <c r="X41" i="13"/>
  <c r="Z41" i="13"/>
  <c r="AE41" i="13"/>
  <c r="I44" i="13"/>
  <c r="J44" i="13"/>
  <c r="K44" i="13"/>
  <c r="L44" i="13"/>
  <c r="M44" i="13"/>
  <c r="N44" i="13"/>
  <c r="O44" i="13"/>
  <c r="P44" i="13"/>
  <c r="Q44" i="13"/>
  <c r="R44" i="13"/>
  <c r="S44" i="13"/>
  <c r="T44" i="13"/>
  <c r="U44" i="13"/>
  <c r="V44" i="13"/>
  <c r="W44" i="13"/>
  <c r="X44" i="13"/>
  <c r="Y44" i="13"/>
  <c r="Z44" i="13"/>
  <c r="AA44" i="13"/>
  <c r="AB44" i="13"/>
  <c r="AC44" i="13"/>
  <c r="AD44" i="13"/>
  <c r="AE44" i="13"/>
  <c r="AF44" i="13"/>
  <c r="AG44" i="13"/>
  <c r="AH44" i="13"/>
  <c r="AI44" i="13"/>
  <c r="I45" i="13"/>
  <c r="J45" i="13"/>
  <c r="L45" i="13"/>
  <c r="N45" i="13"/>
  <c r="O45" i="13"/>
  <c r="P45" i="13"/>
  <c r="Q45" i="13"/>
  <c r="R45" i="13"/>
  <c r="S45" i="13"/>
  <c r="T45" i="13"/>
  <c r="U45" i="13"/>
  <c r="V45" i="13"/>
  <c r="W45" i="13"/>
  <c r="X45" i="13"/>
  <c r="Y45" i="13"/>
  <c r="Z45" i="13"/>
  <c r="AA45" i="13"/>
  <c r="AB45" i="13"/>
  <c r="AC45" i="13"/>
  <c r="AD45" i="13"/>
  <c r="AE45" i="13"/>
  <c r="AF45" i="13"/>
  <c r="AG45" i="13"/>
  <c r="AH45" i="13"/>
  <c r="AI45" i="13"/>
  <c r="D47" i="13"/>
  <c r="F47" i="13"/>
  <c r="K47" i="13"/>
  <c r="M47" i="13"/>
  <c r="O47" i="13"/>
  <c r="R47" i="13"/>
  <c r="T47" i="13"/>
  <c r="W47" i="13"/>
  <c r="V47" i="13" s="1"/>
  <c r="Y47" i="13"/>
  <c r="AA47" i="13"/>
  <c r="AD47" i="13"/>
  <c r="AC47" i="13" s="1"/>
  <c r="AF47" i="13"/>
  <c r="AH47" i="13"/>
  <c r="C48" i="13"/>
  <c r="D50" i="13"/>
  <c r="D56" i="13"/>
  <c r="D53" i="13"/>
  <c r="D59" i="13"/>
  <c r="D62" i="13"/>
  <c r="E48" i="13"/>
  <c r="F50" i="13"/>
  <c r="F56" i="13"/>
  <c r="F53" i="13"/>
  <c r="F59" i="13"/>
  <c r="F62" i="13"/>
  <c r="H50" i="13"/>
  <c r="H56" i="13"/>
  <c r="H62" i="13"/>
  <c r="K50" i="13"/>
  <c r="K56" i="13"/>
  <c r="K53" i="13"/>
  <c r="K59" i="13"/>
  <c r="K62" i="13"/>
  <c r="M50" i="13"/>
  <c r="M56" i="13"/>
  <c r="M53" i="13"/>
  <c r="M59" i="13"/>
  <c r="M62" i="13"/>
  <c r="O50" i="13"/>
  <c r="Q65" i="13"/>
  <c r="Q57" i="13" s="1"/>
  <c r="R50" i="13"/>
  <c r="R56" i="13"/>
  <c r="R53" i="13"/>
  <c r="R59" i="13"/>
  <c r="R62" i="13"/>
  <c r="S65" i="13"/>
  <c r="S54" i="13" s="1"/>
  <c r="S48" i="13"/>
  <c r="T50" i="13"/>
  <c r="T56" i="13"/>
  <c r="T53" i="13"/>
  <c r="T59" i="13"/>
  <c r="T62" i="13"/>
  <c r="U65" i="13"/>
  <c r="U51" i="13" s="1"/>
  <c r="U48" i="13"/>
  <c r="W50" i="13"/>
  <c r="V50" i="13" s="1"/>
  <c r="W56" i="13"/>
  <c r="V56" i="13"/>
  <c r="W53" i="13"/>
  <c r="W59" i="13"/>
  <c r="W62" i="13"/>
  <c r="V62" i="13"/>
  <c r="X65" i="13"/>
  <c r="X48" i="13"/>
  <c r="Z65" i="13"/>
  <c r="Z54" i="13" s="1"/>
  <c r="Z48" i="13"/>
  <c r="AA50" i="13"/>
  <c r="AA56" i="13"/>
  <c r="AA53" i="13"/>
  <c r="AA59" i="13"/>
  <c r="AA62" i="13"/>
  <c r="AB65" i="13"/>
  <c r="AB51" i="13" s="1"/>
  <c r="AB48" i="13"/>
  <c r="AD50" i="13"/>
  <c r="AC50" i="13" s="1"/>
  <c r="AD56" i="13"/>
  <c r="AD53" i="13"/>
  <c r="AD59" i="13"/>
  <c r="AC59" i="13" s="1"/>
  <c r="AD62" i="13"/>
  <c r="AC62" i="13"/>
  <c r="AE65" i="13"/>
  <c r="AE57" i="13" s="1"/>
  <c r="Y50" i="13"/>
  <c r="AF50" i="13"/>
  <c r="AH50" i="13"/>
  <c r="E51" i="13"/>
  <c r="G51" i="13"/>
  <c r="Q51" i="13"/>
  <c r="S51" i="13"/>
  <c r="Y53" i="13"/>
  <c r="AF53" i="13"/>
  <c r="AH53" i="13"/>
  <c r="C54" i="13"/>
  <c r="E54" i="13"/>
  <c r="Q54" i="13"/>
  <c r="U54" i="13"/>
  <c r="X54" i="13"/>
  <c r="Y56" i="13"/>
  <c r="AF56" i="13"/>
  <c r="AH56" i="13"/>
  <c r="E57" i="13"/>
  <c r="S57" i="13"/>
  <c r="U57" i="13"/>
  <c r="Z57" i="13"/>
  <c r="Y59" i="13"/>
  <c r="AF59" i="13"/>
  <c r="AH59" i="13"/>
  <c r="E60" i="13"/>
  <c r="Q60" i="13"/>
  <c r="S60" i="13"/>
  <c r="U60" i="13"/>
  <c r="Y62" i="13"/>
  <c r="AF62" i="13"/>
  <c r="AH62" i="13"/>
  <c r="E63" i="13"/>
  <c r="G63" i="13"/>
  <c r="Q63" i="13"/>
  <c r="S63" i="13"/>
  <c r="U63" i="13"/>
  <c r="C67" i="13"/>
  <c r="E67" i="13"/>
  <c r="Q67" i="13"/>
  <c r="S67" i="13"/>
  <c r="X67" i="13"/>
  <c r="C68" i="13"/>
  <c r="E68" i="13"/>
  <c r="S68" i="13"/>
  <c r="U68" i="13"/>
  <c r="X68" i="13"/>
  <c r="D17" i="9"/>
  <c r="E17" i="9"/>
  <c r="F17" i="9"/>
  <c r="G17" i="9"/>
  <c r="H17" i="9"/>
  <c r="I17" i="9"/>
  <c r="J17" i="9"/>
  <c r="C20" i="9"/>
  <c r="D20" i="9"/>
  <c r="E20" i="9"/>
  <c r="F20" i="9"/>
  <c r="G20" i="9"/>
  <c r="H20" i="9"/>
  <c r="I20" i="9"/>
  <c r="J20" i="9"/>
  <c r="C21" i="9"/>
  <c r="D21" i="9"/>
  <c r="E21" i="9"/>
  <c r="F21" i="9"/>
  <c r="G21" i="9"/>
  <c r="H21" i="9"/>
  <c r="I21" i="9"/>
  <c r="J21" i="9"/>
  <c r="C65" i="9"/>
  <c r="C38" i="9" s="1"/>
  <c r="C24" i="9"/>
  <c r="D65" i="9"/>
  <c r="D38" i="9"/>
  <c r="E65" i="9"/>
  <c r="E54" i="9" s="1"/>
  <c r="E38" i="9"/>
  <c r="E40" i="9" s="1"/>
  <c r="F65" i="9"/>
  <c r="F48" i="9" s="1"/>
  <c r="F38" i="9"/>
  <c r="G65" i="9"/>
  <c r="G54" i="9" s="1"/>
  <c r="H38" i="9"/>
  <c r="H24" i="9"/>
  <c r="I38" i="9"/>
  <c r="I24" i="9"/>
  <c r="J38" i="9"/>
  <c r="J24" i="9"/>
  <c r="C27" i="9"/>
  <c r="H27" i="9"/>
  <c r="J27" i="9"/>
  <c r="F30" i="9"/>
  <c r="H30" i="9"/>
  <c r="J30" i="9"/>
  <c r="C33" i="9"/>
  <c r="H33" i="9"/>
  <c r="J33" i="9"/>
  <c r="F36" i="9"/>
  <c r="H36" i="9"/>
  <c r="J36" i="9"/>
  <c r="H40" i="9"/>
  <c r="J40" i="9"/>
  <c r="F41" i="9"/>
  <c r="H41" i="9"/>
  <c r="J41" i="9"/>
  <c r="C44" i="9"/>
  <c r="D44" i="9"/>
  <c r="E44" i="9"/>
  <c r="F44" i="9"/>
  <c r="G44" i="9"/>
  <c r="H44" i="9"/>
  <c r="I44" i="9"/>
  <c r="J44" i="9"/>
  <c r="C45" i="9"/>
  <c r="D45" i="9"/>
  <c r="E45" i="9"/>
  <c r="F45" i="9"/>
  <c r="G45" i="9"/>
  <c r="H45" i="9"/>
  <c r="I45" i="9"/>
  <c r="J45" i="9"/>
  <c r="C48" i="9"/>
  <c r="D48" i="9"/>
  <c r="G48" i="9"/>
  <c r="H65" i="9"/>
  <c r="H48" i="9" s="1"/>
  <c r="I65" i="9"/>
  <c r="I51" i="9" s="1"/>
  <c r="J65" i="9"/>
  <c r="C51" i="9"/>
  <c r="D51" i="9"/>
  <c r="F51" i="9"/>
  <c r="C54" i="9"/>
  <c r="D54" i="9"/>
  <c r="F54" i="9"/>
  <c r="C57" i="9"/>
  <c r="D57" i="9"/>
  <c r="E57" i="9"/>
  <c r="D60" i="9"/>
  <c r="F60" i="9"/>
  <c r="D63" i="9"/>
  <c r="F63" i="9"/>
  <c r="C68" i="9"/>
  <c r="D68" i="9"/>
  <c r="F68" i="9"/>
  <c r="C69" i="9"/>
  <c r="D69" i="9"/>
  <c r="E69" i="9"/>
  <c r="D7" i="12"/>
  <c r="F7" i="12"/>
  <c r="I7" i="12"/>
  <c r="K7" i="12"/>
  <c r="K15" i="12" s="1"/>
  <c r="M7" i="12"/>
  <c r="P7" i="12"/>
  <c r="R7" i="12"/>
  <c r="T7" i="12"/>
  <c r="W7" i="12"/>
  <c r="Y7" i="12"/>
  <c r="AA7" i="12"/>
  <c r="AA9" i="12" s="1"/>
  <c r="AD7" i="12"/>
  <c r="AC7" i="12" s="1"/>
  <c r="AF7" i="12"/>
  <c r="AF9" i="12" s="1"/>
  <c r="AH7" i="12"/>
  <c r="AK7" i="12"/>
  <c r="AJ7" i="12" s="1"/>
  <c r="D8" i="12"/>
  <c r="F8" i="12"/>
  <c r="I8" i="12"/>
  <c r="H8" i="12" s="1"/>
  <c r="K8" i="12"/>
  <c r="M8" i="12"/>
  <c r="P8" i="12"/>
  <c r="O8" i="12" s="1"/>
  <c r="R8" i="12"/>
  <c r="T8" i="12"/>
  <c r="W8" i="12"/>
  <c r="V8" i="12" s="1"/>
  <c r="Y8" i="12"/>
  <c r="AA8" i="12"/>
  <c r="AD8" i="12"/>
  <c r="AC8" i="12" s="1"/>
  <c r="AF8" i="12"/>
  <c r="AH8" i="12"/>
  <c r="AH9" i="12" s="1"/>
  <c r="AK8" i="12"/>
  <c r="C9" i="12"/>
  <c r="E9" i="12"/>
  <c r="F9" i="12"/>
  <c r="G9" i="12"/>
  <c r="J9" i="12"/>
  <c r="K9" i="12"/>
  <c r="L9" i="12"/>
  <c r="N9" i="12"/>
  <c r="Q9" i="12"/>
  <c r="S9" i="12"/>
  <c r="U9" i="12"/>
  <c r="X9" i="12"/>
  <c r="Y9" i="12"/>
  <c r="Z9" i="12"/>
  <c r="AB9" i="12"/>
  <c r="AE9" i="12"/>
  <c r="AG9" i="12"/>
  <c r="AI9" i="12"/>
  <c r="D11" i="12"/>
  <c r="F11" i="12"/>
  <c r="I11" i="12"/>
  <c r="H11" i="12" s="1"/>
  <c r="K11" i="12"/>
  <c r="K12" i="12" s="1"/>
  <c r="M11" i="12"/>
  <c r="P11" i="12"/>
  <c r="O11" i="12" s="1"/>
  <c r="R11" i="12"/>
  <c r="T11" i="12"/>
  <c r="T12" i="12" s="1"/>
  <c r="W11" i="12"/>
  <c r="V11" i="12" s="1"/>
  <c r="Y11" i="12"/>
  <c r="Y12" i="12" s="1"/>
  <c r="AA11" i="12"/>
  <c r="AA12" i="12" s="1"/>
  <c r="AD11" i="12"/>
  <c r="AD12" i="12" s="1"/>
  <c r="AF11" i="12"/>
  <c r="AH11" i="12"/>
  <c r="AK11" i="12"/>
  <c r="C12" i="12"/>
  <c r="E12" i="12"/>
  <c r="F12" i="12"/>
  <c r="G12" i="12"/>
  <c r="J12" i="12"/>
  <c r="L12" i="12"/>
  <c r="N12" i="12"/>
  <c r="Q12" i="12"/>
  <c r="S12" i="12"/>
  <c r="U12" i="12"/>
  <c r="X12" i="12"/>
  <c r="Z12" i="12"/>
  <c r="AB12" i="12"/>
  <c r="AE12" i="12"/>
  <c r="AG12" i="12"/>
  <c r="AI12" i="12"/>
  <c r="D14" i="12"/>
  <c r="D15" i="12" s="1"/>
  <c r="F14" i="12"/>
  <c r="F15" i="12" s="1"/>
  <c r="I14" i="12"/>
  <c r="F7" i="17" s="1"/>
  <c r="K14" i="12"/>
  <c r="M14" i="12"/>
  <c r="P14" i="12"/>
  <c r="O14" i="12" s="1"/>
  <c r="R14" i="12"/>
  <c r="T14" i="12"/>
  <c r="W14" i="12"/>
  <c r="N7" i="17" s="1"/>
  <c r="V14" i="12"/>
  <c r="Y14" i="12"/>
  <c r="Y15" i="12" s="1"/>
  <c r="AA14" i="12"/>
  <c r="AD14" i="12"/>
  <c r="AC14" i="12" s="1"/>
  <c r="AF14" i="12"/>
  <c r="AH14" i="12"/>
  <c r="AK14" i="12"/>
  <c r="V7" i="17" s="1"/>
  <c r="C15" i="12"/>
  <c r="E15" i="12"/>
  <c r="G15" i="12"/>
  <c r="J15" i="12"/>
  <c r="L15" i="12"/>
  <c r="N15" i="12"/>
  <c r="Q15" i="12"/>
  <c r="S15" i="12"/>
  <c r="U15" i="12"/>
  <c r="W15" i="12"/>
  <c r="X15" i="12"/>
  <c r="Z15" i="12"/>
  <c r="AB15" i="12"/>
  <c r="AE15" i="12"/>
  <c r="AG15" i="12"/>
  <c r="AH15" i="12"/>
  <c r="AI15" i="12"/>
  <c r="C24" i="12"/>
  <c r="C7" i="15" s="1"/>
  <c r="D19" i="12"/>
  <c r="D22" i="12"/>
  <c r="D24" i="12"/>
  <c r="E24" i="12"/>
  <c r="F19" i="12"/>
  <c r="F21" i="12" s="1"/>
  <c r="F22" i="12"/>
  <c r="F24" i="12"/>
  <c r="F25" i="12" s="1"/>
  <c r="G24" i="12"/>
  <c r="G17" i="12" s="1"/>
  <c r="I19" i="12"/>
  <c r="I22" i="12"/>
  <c r="H22" i="12" s="1"/>
  <c r="J24" i="12"/>
  <c r="J25" i="12" s="1"/>
  <c r="K19" i="12"/>
  <c r="K22" i="12"/>
  <c r="K24" i="12" s="1"/>
  <c r="L24" i="12"/>
  <c r="L31" i="12" s="1"/>
  <c r="L40" i="12" s="1"/>
  <c r="H51" i="17" s="1"/>
  <c r="M19" i="12"/>
  <c r="M24" i="12" s="1"/>
  <c r="M22" i="12"/>
  <c r="N24" i="12"/>
  <c r="N31" i="12" s="1"/>
  <c r="N40" i="12" s="1"/>
  <c r="I51" i="17" s="1"/>
  <c r="P19" i="12"/>
  <c r="O19" i="12" s="1"/>
  <c r="P22" i="12"/>
  <c r="Q24" i="12"/>
  <c r="R19" i="12"/>
  <c r="R22" i="12"/>
  <c r="S24" i="12"/>
  <c r="S31" i="12" s="1"/>
  <c r="T19" i="12"/>
  <c r="T22" i="12"/>
  <c r="U24" i="12"/>
  <c r="U7" i="15" s="1"/>
  <c r="U25" i="15" s="1"/>
  <c r="U17" i="12"/>
  <c r="W19" i="12"/>
  <c r="W22" i="12"/>
  <c r="X24" i="12"/>
  <c r="Y19" i="12"/>
  <c r="Y21" i="12" s="1"/>
  <c r="Y22" i="12"/>
  <c r="Z24" i="12"/>
  <c r="Z7" i="15" s="1"/>
  <c r="Z25" i="15" s="1"/>
  <c r="Z17" i="12"/>
  <c r="AA19" i="12"/>
  <c r="AA22" i="12"/>
  <c r="AB24" i="12"/>
  <c r="AB31" i="12" s="1"/>
  <c r="AB40" i="12" s="1"/>
  <c r="Q51" i="17" s="1"/>
  <c r="AD19" i="12"/>
  <c r="AC19" i="12" s="1"/>
  <c r="AD22" i="12"/>
  <c r="AE17" i="12"/>
  <c r="AF24" i="12"/>
  <c r="AG17" i="12"/>
  <c r="AH24" i="12"/>
  <c r="AH25" i="12" s="1"/>
  <c r="AI17" i="12"/>
  <c r="AK24" i="12"/>
  <c r="AJ24" i="12" s="1"/>
  <c r="AJ25" i="12" s="1"/>
  <c r="AF19" i="12"/>
  <c r="AF21" i="12" s="1"/>
  <c r="AH19" i="12"/>
  <c r="AK19" i="12"/>
  <c r="AK21" i="12" s="1"/>
  <c r="C21" i="12"/>
  <c r="E21" i="12"/>
  <c r="G21" i="12"/>
  <c r="J21" i="12"/>
  <c r="K21" i="12"/>
  <c r="L21" i="12"/>
  <c r="N21" i="12"/>
  <c r="Q21" i="12"/>
  <c r="S21" i="12"/>
  <c r="U21" i="12"/>
  <c r="X21" i="12"/>
  <c r="Z21" i="12"/>
  <c r="AB21" i="12"/>
  <c r="AE21" i="12"/>
  <c r="AG21" i="12"/>
  <c r="AH21" i="12"/>
  <c r="AI21" i="12"/>
  <c r="AF22" i="12"/>
  <c r="AH22" i="12"/>
  <c r="AK22" i="12"/>
  <c r="AJ22" i="12" s="1"/>
  <c r="N25" i="12"/>
  <c r="Q25" i="12"/>
  <c r="U25" i="12"/>
  <c r="Z25" i="12"/>
  <c r="AE25" i="12"/>
  <c r="AG25" i="12"/>
  <c r="AI25" i="12"/>
  <c r="D26" i="12"/>
  <c r="F26" i="12"/>
  <c r="I26" i="12"/>
  <c r="H26" i="12" s="1"/>
  <c r="K26" i="12"/>
  <c r="M26" i="12"/>
  <c r="P26" i="12"/>
  <c r="O26" i="12" s="1"/>
  <c r="R26" i="12"/>
  <c r="T26" i="12"/>
  <c r="W26" i="12"/>
  <c r="V26" i="12" s="1"/>
  <c r="Y26" i="12"/>
  <c r="AA26" i="12"/>
  <c r="AD26" i="12"/>
  <c r="AC26" i="12" s="1"/>
  <c r="AF26" i="12"/>
  <c r="AH26" i="12"/>
  <c r="AK26" i="12"/>
  <c r="AJ26" i="12"/>
  <c r="D27" i="12"/>
  <c r="F27" i="12"/>
  <c r="I27" i="12"/>
  <c r="H27" i="12" s="1"/>
  <c r="K27" i="12"/>
  <c r="M27" i="12"/>
  <c r="P27" i="12"/>
  <c r="O27" i="12" s="1"/>
  <c r="R27" i="12"/>
  <c r="T27" i="12"/>
  <c r="W27" i="12"/>
  <c r="V27" i="12" s="1"/>
  <c r="Y27" i="12"/>
  <c r="AA27" i="12"/>
  <c r="AD27" i="12"/>
  <c r="AC27" i="12" s="1"/>
  <c r="AF27" i="12"/>
  <c r="AH27" i="12"/>
  <c r="AK27" i="12"/>
  <c r="AJ27" i="12" s="1"/>
  <c r="G31" i="12"/>
  <c r="G38" i="12" s="1"/>
  <c r="G46" i="12" s="1"/>
  <c r="G47" i="12" s="1"/>
  <c r="U31" i="12"/>
  <c r="U40" i="12" s="1"/>
  <c r="M51" i="17" s="1"/>
  <c r="X31" i="12"/>
  <c r="X38" i="12" s="1"/>
  <c r="X46" i="12" s="1"/>
  <c r="X47" i="12" s="1"/>
  <c r="AE31" i="12"/>
  <c r="AG31" i="12"/>
  <c r="AI31" i="12"/>
  <c r="AI37" i="12" s="1"/>
  <c r="D33" i="12"/>
  <c r="F33" i="12"/>
  <c r="I33" i="12"/>
  <c r="H33" i="12" s="1"/>
  <c r="K33" i="12"/>
  <c r="M33" i="12"/>
  <c r="P33" i="12"/>
  <c r="O33" i="12" s="1"/>
  <c r="R33" i="12"/>
  <c r="T33" i="12"/>
  <c r="W33" i="12"/>
  <c r="V33" i="12" s="1"/>
  <c r="Y33" i="12"/>
  <c r="AA33" i="12"/>
  <c r="AD33" i="12"/>
  <c r="AC33" i="12" s="1"/>
  <c r="AF33" i="12"/>
  <c r="AH33" i="12"/>
  <c r="AK33" i="12"/>
  <c r="AJ33" i="12" s="1"/>
  <c r="D35" i="12"/>
  <c r="F35" i="12"/>
  <c r="I35" i="12"/>
  <c r="H35" i="12" s="1"/>
  <c r="K35" i="12"/>
  <c r="M35" i="12"/>
  <c r="P35" i="12"/>
  <c r="O35" i="12" s="1"/>
  <c r="R35" i="12"/>
  <c r="T35" i="12"/>
  <c r="W35" i="12"/>
  <c r="V35" i="12" s="1"/>
  <c r="X35" i="12"/>
  <c r="Y35" i="12"/>
  <c r="AA35" i="12"/>
  <c r="AD35" i="12"/>
  <c r="AC35" i="12" s="1"/>
  <c r="AE35" i="12"/>
  <c r="AG35" i="12"/>
  <c r="AH35" i="12" s="1"/>
  <c r="AK35" i="12"/>
  <c r="AJ35" i="12" s="1"/>
  <c r="D36" i="12"/>
  <c r="F36" i="12"/>
  <c r="I36" i="12"/>
  <c r="F53" i="17" s="1"/>
  <c r="K36" i="12"/>
  <c r="M36" i="12"/>
  <c r="P36" i="12"/>
  <c r="O36" i="12"/>
  <c r="R36" i="12"/>
  <c r="T36" i="12"/>
  <c r="W36" i="12"/>
  <c r="V36" i="12" s="1"/>
  <c r="Y36" i="12"/>
  <c r="AA36" i="12"/>
  <c r="AD36" i="12"/>
  <c r="R53" i="17" s="1"/>
  <c r="AG36" i="12"/>
  <c r="T53" i="17" s="1"/>
  <c r="AH36" i="12"/>
  <c r="AK36" i="12"/>
  <c r="AJ36" i="12" s="1"/>
  <c r="G37" i="12"/>
  <c r="U37" i="12"/>
  <c r="I39" i="12"/>
  <c r="F52" i="17" s="1"/>
  <c r="P39" i="12"/>
  <c r="O39" i="12" s="1"/>
  <c r="R39" i="12"/>
  <c r="T39" i="12"/>
  <c r="W39" i="12"/>
  <c r="N52" i="17" s="1"/>
  <c r="Y39" i="12"/>
  <c r="AA39" i="12"/>
  <c r="AD39" i="12"/>
  <c r="R52" i="17" s="1"/>
  <c r="AF39" i="12"/>
  <c r="AH39" i="12"/>
  <c r="AK39" i="12"/>
  <c r="AJ39" i="12"/>
  <c r="G40" i="12"/>
  <c r="E51" i="17" s="1"/>
  <c r="E54" i="17" s="1"/>
  <c r="E63" i="17" s="1"/>
  <c r="E75" i="17" s="1"/>
  <c r="E112" i="17" s="1"/>
  <c r="E117" i="17" s="1"/>
  <c r="AE40" i="12"/>
  <c r="S51" i="17" s="1"/>
  <c r="I41" i="12"/>
  <c r="H41" i="12" s="1"/>
  <c r="P41" i="12"/>
  <c r="O41" i="12" s="1"/>
  <c r="R41" i="12"/>
  <c r="T41" i="12"/>
  <c r="W41" i="12"/>
  <c r="V41" i="12" s="1"/>
  <c r="Y41" i="12"/>
  <c r="AA41" i="12"/>
  <c r="AD41" i="12"/>
  <c r="AC41" i="12" s="1"/>
  <c r="AF41" i="12"/>
  <c r="AH41" i="12"/>
  <c r="AK41" i="12"/>
  <c r="AJ41" i="12" s="1"/>
  <c r="D43" i="12"/>
  <c r="F43" i="12"/>
  <c r="I43" i="12"/>
  <c r="H43" i="12" s="1"/>
  <c r="P43" i="12"/>
  <c r="O43" i="12"/>
  <c r="R43" i="12"/>
  <c r="T43" i="12"/>
  <c r="W43" i="12"/>
  <c r="V43" i="12" s="1"/>
  <c r="Y43" i="12"/>
  <c r="AA43" i="12"/>
  <c r="AF43" i="12"/>
  <c r="AH43" i="12"/>
  <c r="AK43" i="12"/>
  <c r="AJ43" i="12" s="1"/>
  <c r="D44" i="12"/>
  <c r="F44" i="12"/>
  <c r="I44" i="12"/>
  <c r="H44" i="12"/>
  <c r="P44" i="12"/>
  <c r="O44" i="12" s="1"/>
  <c r="R44" i="12"/>
  <c r="T44" i="12"/>
  <c r="W44" i="12"/>
  <c r="V44" i="12" s="1"/>
  <c r="Y44" i="12"/>
  <c r="AA44" i="12"/>
  <c r="AD44" i="12"/>
  <c r="AC44" i="12" s="1"/>
  <c r="AF44" i="12"/>
  <c r="AH44" i="12"/>
  <c r="AK44" i="12"/>
  <c r="AJ44" i="12"/>
  <c r="D45" i="12"/>
  <c r="F45" i="12"/>
  <c r="I45" i="12"/>
  <c r="H45" i="12" s="1"/>
  <c r="P45" i="12"/>
  <c r="O45" i="12"/>
  <c r="R45" i="12"/>
  <c r="T45" i="12"/>
  <c r="W45" i="12"/>
  <c r="V45" i="12" s="1"/>
  <c r="Y45" i="12"/>
  <c r="AA45" i="12"/>
  <c r="AD45" i="12"/>
  <c r="AC45" i="12"/>
  <c r="AF45" i="12"/>
  <c r="AH45" i="12"/>
  <c r="AK45" i="12"/>
  <c r="AJ45" i="12" s="1"/>
  <c r="C9" i="6"/>
  <c r="D9" i="6"/>
  <c r="E9" i="6"/>
  <c r="F9" i="6"/>
  <c r="G9" i="6"/>
  <c r="H9" i="6"/>
  <c r="I9" i="6"/>
  <c r="J9" i="6"/>
  <c r="C12" i="6"/>
  <c r="D12" i="6"/>
  <c r="E12" i="6"/>
  <c r="F12" i="6"/>
  <c r="G12" i="6"/>
  <c r="H12" i="6"/>
  <c r="I12" i="6"/>
  <c r="J12" i="6"/>
  <c r="C15" i="6"/>
  <c r="D15" i="6"/>
  <c r="E15" i="6"/>
  <c r="F15" i="6"/>
  <c r="G15" i="6"/>
  <c r="H15" i="6"/>
  <c r="I15" i="6"/>
  <c r="J15" i="6"/>
  <c r="C24" i="6"/>
  <c r="C7" i="10" s="1"/>
  <c r="C25" i="10" s="1"/>
  <c r="D24" i="6"/>
  <c r="E24" i="6"/>
  <c r="I7" i="15" s="1"/>
  <c r="E17" i="6"/>
  <c r="F24" i="6"/>
  <c r="F7" i="10" s="1"/>
  <c r="G24" i="6"/>
  <c r="G17" i="6" s="1"/>
  <c r="H24" i="6"/>
  <c r="I24" i="6"/>
  <c r="I7" i="10" s="1"/>
  <c r="I25" i="10" s="1"/>
  <c r="J17" i="6"/>
  <c r="C21" i="6"/>
  <c r="D21" i="6"/>
  <c r="E21" i="6"/>
  <c r="F21" i="6"/>
  <c r="G21" i="6"/>
  <c r="H21" i="6"/>
  <c r="I21" i="6"/>
  <c r="J21" i="6"/>
  <c r="E25" i="6"/>
  <c r="J25" i="6"/>
  <c r="E31" i="6"/>
  <c r="E40" i="6" s="1"/>
  <c r="E51" i="11" s="1"/>
  <c r="J31" i="6"/>
  <c r="J40" i="6" s="1"/>
  <c r="J51" i="11" s="1"/>
  <c r="I43" i="6"/>
  <c r="AD43" i="12" s="1"/>
  <c r="AC43" i="12" s="1"/>
  <c r="D49" i="6"/>
  <c r="D50" i="6" s="1"/>
  <c r="D51" i="6" s="1"/>
  <c r="E49" i="6"/>
  <c r="E50" i="6" s="1"/>
  <c r="E51" i="6" s="1"/>
  <c r="F49" i="6"/>
  <c r="F50" i="6" s="1"/>
  <c r="F51" i="6" s="1"/>
  <c r="J49" i="6"/>
  <c r="J50" i="6" s="1"/>
  <c r="J51" i="6" s="1"/>
  <c r="C50" i="6"/>
  <c r="C51" i="6" s="1"/>
  <c r="C58" i="6"/>
  <c r="D58" i="6"/>
  <c r="E58" i="6"/>
  <c r="F58" i="6"/>
  <c r="G58" i="6"/>
  <c r="H58" i="6"/>
  <c r="I58" i="6"/>
  <c r="J58" i="6"/>
  <c r="C59" i="6"/>
  <c r="D59" i="6"/>
  <c r="E59" i="6"/>
  <c r="F59" i="6"/>
  <c r="G59" i="6"/>
  <c r="H59" i="6"/>
  <c r="I59" i="6"/>
  <c r="J59" i="6"/>
  <c r="F25" i="1" l="1"/>
  <c r="S92" i="16"/>
  <c r="S33" i="16"/>
  <c r="S35" i="16" s="1"/>
  <c r="G33" i="16"/>
  <c r="K33" i="16"/>
  <c r="I106" i="1"/>
  <c r="S103" i="16"/>
  <c r="S104" i="16" s="1"/>
  <c r="I63" i="1"/>
  <c r="H63" i="1"/>
  <c r="I25" i="1"/>
  <c r="I27" i="1" s="1"/>
  <c r="O33" i="16"/>
  <c r="O35" i="16" s="1"/>
  <c r="C114" i="16"/>
  <c r="K29" i="16"/>
  <c r="D41" i="16"/>
  <c r="C63" i="1"/>
  <c r="C29" i="16"/>
  <c r="O57" i="16"/>
  <c r="C92" i="16"/>
  <c r="S57" i="16"/>
  <c r="E27" i="1"/>
  <c r="H106" i="1"/>
  <c r="G68" i="16"/>
  <c r="C27" i="1"/>
  <c r="O114" i="16"/>
  <c r="O75" i="16"/>
  <c r="J25" i="1"/>
  <c r="J27" i="1" s="1"/>
  <c r="J28" i="1" s="1"/>
  <c r="J30" i="1" s="1"/>
  <c r="C106" i="1"/>
  <c r="Q40" i="16"/>
  <c r="Q9" i="16" s="1"/>
  <c r="H25" i="1"/>
  <c r="H27" i="1" s="1"/>
  <c r="G16" i="16"/>
  <c r="C76" i="1"/>
  <c r="C7" i="1" s="1"/>
  <c r="C16" i="16"/>
  <c r="J115" i="1"/>
  <c r="J32" i="1" s="1"/>
  <c r="F27" i="1"/>
  <c r="C111" i="16"/>
  <c r="O25" i="16"/>
  <c r="K75" i="16"/>
  <c r="K76" i="16" s="1"/>
  <c r="G75" i="16"/>
  <c r="G76" i="16" s="1"/>
  <c r="G49" i="6"/>
  <c r="G50" i="6" s="1"/>
  <c r="G51" i="6" s="1"/>
  <c r="E54" i="11"/>
  <c r="E63" i="11" s="1"/>
  <c r="E75" i="11" s="1"/>
  <c r="E112" i="11" s="1"/>
  <c r="E117" i="11" s="1"/>
  <c r="S54" i="17"/>
  <c r="S63" i="17" s="1"/>
  <c r="S75" i="17" s="1"/>
  <c r="S112" i="17" s="1"/>
  <c r="I54" i="17"/>
  <c r="I63" i="17" s="1"/>
  <c r="I75" i="17" s="1"/>
  <c r="I112" i="17" s="1"/>
  <c r="S11" i="17"/>
  <c r="AG57" i="13"/>
  <c r="AG51" i="13"/>
  <c r="AG54" i="13"/>
  <c r="AG60" i="13"/>
  <c r="AG67" i="13"/>
  <c r="P117" i="16"/>
  <c r="Q106" i="16"/>
  <c r="Q117" i="16" s="1"/>
  <c r="T67" i="13"/>
  <c r="E78" i="16"/>
  <c r="M9" i="16"/>
  <c r="M36" i="16"/>
  <c r="S37" i="12"/>
  <c r="S38" i="12"/>
  <c r="S46" i="12" s="1"/>
  <c r="S47" i="12" s="1"/>
  <c r="S40" i="12"/>
  <c r="L51" i="17" s="1"/>
  <c r="L54" i="17" s="1"/>
  <c r="L63" i="17" s="1"/>
  <c r="L75" i="17" s="1"/>
  <c r="L112" i="17" s="1"/>
  <c r="E36" i="13"/>
  <c r="E40" i="13"/>
  <c r="E33" i="13"/>
  <c r="E41" i="13"/>
  <c r="E30" i="13"/>
  <c r="E24" i="13"/>
  <c r="AD33" i="13"/>
  <c r="AD27" i="13"/>
  <c r="AD40" i="13"/>
  <c r="I60" i="9"/>
  <c r="C31" i="12"/>
  <c r="C38" i="12" s="1"/>
  <c r="C46" i="12" s="1"/>
  <c r="C47" i="12" s="1"/>
  <c r="Y24" i="12"/>
  <c r="Y25" i="12" s="1"/>
  <c r="M15" i="12"/>
  <c r="J37" i="6"/>
  <c r="Z31" i="12"/>
  <c r="C25" i="12"/>
  <c r="T21" i="12"/>
  <c r="C17" i="12"/>
  <c r="AA15" i="12"/>
  <c r="AC11" i="12"/>
  <c r="M12" i="12"/>
  <c r="AK9" i="12"/>
  <c r="AH12" i="12"/>
  <c r="P9" i="12"/>
  <c r="F69" i="9"/>
  <c r="E68" i="9"/>
  <c r="C63" i="9"/>
  <c r="F57" i="9"/>
  <c r="I48" i="9"/>
  <c r="E24" i="9"/>
  <c r="AB68" i="13"/>
  <c r="L60" i="13"/>
  <c r="AB57" i="13"/>
  <c r="L51" i="13"/>
  <c r="AE48" i="13"/>
  <c r="T65" i="13"/>
  <c r="T57" i="13" s="1"/>
  <c r="R65" i="13"/>
  <c r="R48" i="13" s="1"/>
  <c r="AG40" i="13"/>
  <c r="AI33" i="13"/>
  <c r="AB27" i="13"/>
  <c r="AG24" i="13"/>
  <c r="AB24" i="13"/>
  <c r="L38" i="13"/>
  <c r="T15" i="15"/>
  <c r="D15" i="15"/>
  <c r="G25" i="1"/>
  <c r="G27" i="1" s="1"/>
  <c r="G76" i="1"/>
  <c r="G78" i="1" s="1"/>
  <c r="S114" i="16"/>
  <c r="J41" i="16"/>
  <c r="S25" i="16"/>
  <c r="P21" i="16"/>
  <c r="P15" i="16" s="1"/>
  <c r="H21" i="16"/>
  <c r="H15" i="16" s="1"/>
  <c r="F106" i="1"/>
  <c r="F106" i="16"/>
  <c r="F117" i="16" s="1"/>
  <c r="C20" i="16"/>
  <c r="Q76" i="16"/>
  <c r="Q78" i="16" s="1"/>
  <c r="N7" i="16"/>
  <c r="G38" i="13"/>
  <c r="G33" i="13" s="1"/>
  <c r="R117" i="16"/>
  <c r="I115" i="16"/>
  <c r="F41" i="16"/>
  <c r="I25" i="16"/>
  <c r="I27" i="16" s="1"/>
  <c r="R24" i="12"/>
  <c r="R31" i="12" s="1"/>
  <c r="R40" i="12" s="1"/>
  <c r="E41" i="9"/>
  <c r="AD24" i="13"/>
  <c r="I17" i="13"/>
  <c r="E115" i="1"/>
  <c r="E32" i="1" s="1"/>
  <c r="E41" i="1" s="1"/>
  <c r="F76" i="1"/>
  <c r="F7" i="1" s="1"/>
  <c r="L63" i="16"/>
  <c r="P115" i="16"/>
  <c r="P32" i="16" s="1"/>
  <c r="O20" i="16"/>
  <c r="F21" i="16"/>
  <c r="F28" i="16" s="1"/>
  <c r="F30" i="16" s="1"/>
  <c r="F7" i="16"/>
  <c r="L67" i="13"/>
  <c r="J60" i="13"/>
  <c r="M9" i="12"/>
  <c r="E30" i="9"/>
  <c r="AE51" i="13"/>
  <c r="I63" i="9"/>
  <c r="L63" i="13"/>
  <c r="L54" i="13"/>
  <c r="Z51" i="13"/>
  <c r="I25" i="6"/>
  <c r="AA21" i="12"/>
  <c r="T15" i="12"/>
  <c r="I68" i="9"/>
  <c r="H63" i="9"/>
  <c r="E60" i="9"/>
  <c r="I54" i="9"/>
  <c r="E51" i="9"/>
  <c r="U67" i="13"/>
  <c r="AE63" i="13"/>
  <c r="J63" i="13"/>
  <c r="Z60" i="13"/>
  <c r="M65" i="13"/>
  <c r="AB36" i="13"/>
  <c r="AI27" i="13"/>
  <c r="J76" i="1"/>
  <c r="J8" i="1" s="1"/>
  <c r="H115" i="16"/>
  <c r="H32" i="16" s="1"/>
  <c r="O26" i="16"/>
  <c r="P25" i="16"/>
  <c r="P27" i="16" s="1"/>
  <c r="AB40" i="13"/>
  <c r="AB33" i="13"/>
  <c r="F31" i="12"/>
  <c r="F38" i="12" s="1"/>
  <c r="F46" i="12" s="1"/>
  <c r="F47" i="12" s="1"/>
  <c r="H68" i="9"/>
  <c r="H54" i="9"/>
  <c r="E48" i="9"/>
  <c r="E33" i="9"/>
  <c r="E27" i="9"/>
  <c r="L68" i="13"/>
  <c r="Z63" i="13"/>
  <c r="L57" i="13"/>
  <c r="W65" i="13"/>
  <c r="W68" i="13" s="1"/>
  <c r="T51" i="13"/>
  <c r="AG41" i="13"/>
  <c r="S40" i="13"/>
  <c r="S33" i="13"/>
  <c r="AG30" i="13"/>
  <c r="AG27" i="13"/>
  <c r="M78" i="16"/>
  <c r="I78" i="16"/>
  <c r="M21" i="16"/>
  <c r="M28" i="16" s="1"/>
  <c r="M30" i="16" s="1"/>
  <c r="G20" i="16"/>
  <c r="G21" i="16" s="1"/>
  <c r="G15" i="16" s="1"/>
  <c r="K92" i="16"/>
  <c r="K93" i="16" s="1"/>
  <c r="F8" i="16"/>
  <c r="P76" i="16"/>
  <c r="P78" i="16" s="1"/>
  <c r="K68" i="16"/>
  <c r="H76" i="16"/>
  <c r="C103" i="16"/>
  <c r="C104" i="16" s="1"/>
  <c r="E36" i="9"/>
  <c r="AF25" i="12"/>
  <c r="AF15" i="12"/>
  <c r="T9" i="12"/>
  <c r="I69" i="9"/>
  <c r="G68" i="9"/>
  <c r="E63" i="9"/>
  <c r="I57" i="9"/>
  <c r="G68" i="13"/>
  <c r="AI65" i="13"/>
  <c r="G48" i="13"/>
  <c r="AE24" i="13"/>
  <c r="H117" i="16"/>
  <c r="K111" i="16"/>
  <c r="K115" i="16" s="1"/>
  <c r="K32" i="16" s="1"/>
  <c r="G114" i="16"/>
  <c r="M27" i="16"/>
  <c r="O61" i="16"/>
  <c r="K103" i="16"/>
  <c r="K104" i="16" s="1"/>
  <c r="G103" i="16"/>
  <c r="G104" i="16" s="1"/>
  <c r="G106" i="16" s="1"/>
  <c r="H60" i="9"/>
  <c r="AG36" i="13"/>
  <c r="U38" i="12"/>
  <c r="U46" i="12" s="1"/>
  <c r="U47" i="12" s="1"/>
  <c r="AE38" i="12"/>
  <c r="AE46" i="12" s="1"/>
  <c r="AE47" i="12" s="1"/>
  <c r="AC15" i="12"/>
  <c r="AF12" i="12"/>
  <c r="R15" i="12"/>
  <c r="H69" i="9"/>
  <c r="H57" i="9"/>
  <c r="AE68" i="13"/>
  <c r="AB41" i="13"/>
  <c r="AI40" i="13"/>
  <c r="H78" i="16"/>
  <c r="F63" i="16"/>
  <c r="F78" i="16" s="1"/>
  <c r="O29" i="16"/>
  <c r="D25" i="16"/>
  <c r="D27" i="16" s="1"/>
  <c r="I21" i="16"/>
  <c r="I15" i="16" s="1"/>
  <c r="E76" i="16"/>
  <c r="J93" i="17"/>
  <c r="J97" i="17" s="1"/>
  <c r="N93" i="17"/>
  <c r="N97" i="17" s="1"/>
  <c r="V97" i="17"/>
  <c r="D15" i="17"/>
  <c r="D18" i="17" s="1"/>
  <c r="D27" i="17" s="1"/>
  <c r="D42" i="17" s="1"/>
  <c r="D45" i="17" s="1"/>
  <c r="U11" i="17"/>
  <c r="U15" i="17" s="1"/>
  <c r="U18" i="17" s="1"/>
  <c r="U27" i="17" s="1"/>
  <c r="K15" i="17"/>
  <c r="K18" i="17" s="1"/>
  <c r="K27" i="17" s="1"/>
  <c r="I15" i="17"/>
  <c r="I18" i="17" s="1"/>
  <c r="I27" i="17" s="1"/>
  <c r="E15" i="17"/>
  <c r="E18" i="17" s="1"/>
  <c r="E27" i="17" s="1"/>
  <c r="E42" i="17" s="1"/>
  <c r="E45" i="17" s="1"/>
  <c r="R93" i="17"/>
  <c r="R97" i="17" s="1"/>
  <c r="F93" i="17"/>
  <c r="F97" i="17" s="1"/>
  <c r="J56" i="17"/>
  <c r="E37" i="6"/>
  <c r="C25" i="6"/>
  <c r="AJ8" i="12"/>
  <c r="C17" i="6"/>
  <c r="P21" i="12"/>
  <c r="AD21" i="12"/>
  <c r="F17" i="6"/>
  <c r="AC36" i="12"/>
  <c r="C31" i="6"/>
  <c r="AK17" i="12"/>
  <c r="F25" i="10"/>
  <c r="H36" i="12"/>
  <c r="AJ19" i="12"/>
  <c r="AJ21" i="12" s="1"/>
  <c r="R7" i="17"/>
  <c r="R11" i="17" s="1"/>
  <c r="R15" i="17" s="1"/>
  <c r="R18" i="17" s="1"/>
  <c r="R27" i="17" s="1"/>
  <c r="H14" i="12"/>
  <c r="AJ31" i="12"/>
  <c r="AJ37" i="12" s="1"/>
  <c r="I24" i="12"/>
  <c r="I17" i="12" s="1"/>
  <c r="C40" i="6"/>
  <c r="C51" i="11" s="1"/>
  <c r="C54" i="11" s="1"/>
  <c r="C63" i="11" s="1"/>
  <c r="C75" i="11" s="1"/>
  <c r="C112" i="11" s="1"/>
  <c r="C117" i="11" s="1"/>
  <c r="D114" i="11" s="1"/>
  <c r="I31" i="6"/>
  <c r="J38" i="6"/>
  <c r="J46" i="6" s="1"/>
  <c r="J47" i="6" s="1"/>
  <c r="F31" i="6"/>
  <c r="I17" i="6"/>
  <c r="V39" i="12"/>
  <c r="P15" i="12"/>
  <c r="AJ14" i="12"/>
  <c r="AJ15" i="12" s="1"/>
  <c r="AK31" i="12"/>
  <c r="AK38" i="12" s="1"/>
  <c r="E38" i="6"/>
  <c r="E46" i="6" s="1"/>
  <c r="E47" i="6" s="1"/>
  <c r="AD9" i="12"/>
  <c r="AJ9" i="12"/>
  <c r="J7" i="17"/>
  <c r="J11" i="17" s="1"/>
  <c r="J15" i="17" s="1"/>
  <c r="J18" i="17" s="1"/>
  <c r="J27" i="17" s="1"/>
  <c r="J106" i="1"/>
  <c r="J117" i="1" s="1"/>
  <c r="J41" i="1"/>
  <c r="G26" i="11"/>
  <c r="F9" i="1"/>
  <c r="F53" i="6" s="1"/>
  <c r="F54" i="6" s="1"/>
  <c r="G7" i="1"/>
  <c r="O111" i="16"/>
  <c r="O115" i="16" s="1"/>
  <c r="O32" i="16" s="1"/>
  <c r="G38" i="16"/>
  <c r="G40" i="16" s="1"/>
  <c r="G36" i="16" s="1"/>
  <c r="G9" i="16" s="1"/>
  <c r="O103" i="16"/>
  <c r="O104" i="16" s="1"/>
  <c r="O68" i="16"/>
  <c r="O76" i="16" s="1"/>
  <c r="D115" i="1"/>
  <c r="D32" i="1" s="1"/>
  <c r="D41" i="1" s="1"/>
  <c r="H76" i="1"/>
  <c r="R41" i="16"/>
  <c r="S111" i="16"/>
  <c r="L40" i="16"/>
  <c r="C115" i="1"/>
  <c r="C32" i="1" s="1"/>
  <c r="C41" i="1" s="1"/>
  <c r="G21" i="1"/>
  <c r="D21" i="1"/>
  <c r="D15" i="1" s="1"/>
  <c r="Q41" i="16"/>
  <c r="G111" i="16"/>
  <c r="K20" i="16"/>
  <c r="K21" i="16" s="1"/>
  <c r="C57" i="16"/>
  <c r="S75" i="16"/>
  <c r="C68" i="16"/>
  <c r="G106" i="1"/>
  <c r="S29" i="16"/>
  <c r="G29" i="16"/>
  <c r="I21" i="1"/>
  <c r="I15" i="1" s="1"/>
  <c r="G93" i="16"/>
  <c r="F78" i="1"/>
  <c r="H21" i="1"/>
  <c r="E76" i="1"/>
  <c r="E78" i="1" s="1"/>
  <c r="K57" i="16"/>
  <c r="K63" i="16" s="1"/>
  <c r="F15" i="11"/>
  <c r="F18" i="11" s="1"/>
  <c r="F27" i="11" s="1"/>
  <c r="F42" i="11" s="1"/>
  <c r="F45" i="11" s="1"/>
  <c r="S15" i="17"/>
  <c r="S18" i="17" s="1"/>
  <c r="S27" i="17" s="1"/>
  <c r="H15" i="17"/>
  <c r="H18" i="17" s="1"/>
  <c r="H27" i="17" s="1"/>
  <c r="P11" i="17"/>
  <c r="P15" i="17" s="1"/>
  <c r="P18" i="17" s="1"/>
  <c r="P27" i="17" s="1"/>
  <c r="F109" i="17"/>
  <c r="N109" i="17"/>
  <c r="V109" i="17"/>
  <c r="R56" i="17"/>
  <c r="C15" i="17"/>
  <c r="C18" i="17" s="1"/>
  <c r="C27" i="17" s="1"/>
  <c r="C42" i="17" s="1"/>
  <c r="C45" i="17" s="1"/>
  <c r="Q11" i="17"/>
  <c r="Q15" i="17" s="1"/>
  <c r="Q18" i="17" s="1"/>
  <c r="Q27" i="17" s="1"/>
  <c r="H54" i="17"/>
  <c r="H63" i="17" s="1"/>
  <c r="H75" i="17" s="1"/>
  <c r="H112" i="17" s="1"/>
  <c r="H117" i="17" s="1"/>
  <c r="F56" i="17"/>
  <c r="G15" i="17"/>
  <c r="G18" i="17" s="1"/>
  <c r="G27" i="17" s="1"/>
  <c r="Q54" i="17"/>
  <c r="Q63" i="17" s="1"/>
  <c r="Q75" i="17" s="1"/>
  <c r="Q112" i="17" s="1"/>
  <c r="L15" i="17"/>
  <c r="L18" i="17" s="1"/>
  <c r="L27" i="17" s="1"/>
  <c r="M54" i="17"/>
  <c r="M63" i="17" s="1"/>
  <c r="M75" i="17" s="1"/>
  <c r="M112" i="17" s="1"/>
  <c r="V11" i="17"/>
  <c r="V15" i="17" s="1"/>
  <c r="V18" i="17" s="1"/>
  <c r="V27" i="17" s="1"/>
  <c r="N56" i="17"/>
  <c r="D15" i="11"/>
  <c r="D18" i="11" s="1"/>
  <c r="D27" i="11" s="1"/>
  <c r="J54" i="11"/>
  <c r="J63" i="11" s="1"/>
  <c r="J75" i="11" s="1"/>
  <c r="J112" i="11" s="1"/>
  <c r="I11" i="11"/>
  <c r="I15" i="11" s="1"/>
  <c r="I18" i="11" s="1"/>
  <c r="I27" i="11" s="1"/>
  <c r="I49" i="6"/>
  <c r="I50" i="6" s="1"/>
  <c r="I51" i="6" s="1"/>
  <c r="F11" i="17"/>
  <c r="F15" i="17" s="1"/>
  <c r="F18" i="17" s="1"/>
  <c r="F27" i="17" s="1"/>
  <c r="F42" i="17" s="1"/>
  <c r="F45" i="17" s="1"/>
  <c r="E15" i="11"/>
  <c r="E18" i="11" s="1"/>
  <c r="E27" i="11" s="1"/>
  <c r="K7" i="15"/>
  <c r="K17" i="12"/>
  <c r="K25" i="12"/>
  <c r="K31" i="12"/>
  <c r="F40" i="12"/>
  <c r="AC9" i="12"/>
  <c r="E7" i="15"/>
  <c r="E25" i="15" s="1"/>
  <c r="E17" i="12"/>
  <c r="E25" i="12"/>
  <c r="E31" i="12"/>
  <c r="E26" i="11"/>
  <c r="D9" i="1"/>
  <c r="D53" i="6" s="1"/>
  <c r="D54" i="6" s="1"/>
  <c r="AG37" i="12"/>
  <c r="M7" i="15"/>
  <c r="M25" i="15" s="1"/>
  <c r="M25" i="12"/>
  <c r="M31" i="12"/>
  <c r="H39" i="12"/>
  <c r="N38" i="12"/>
  <c r="N46" i="12" s="1"/>
  <c r="N47" i="12" s="1"/>
  <c r="X37" i="12"/>
  <c r="M21" i="12"/>
  <c r="W15" i="15"/>
  <c r="V15" i="15" s="1"/>
  <c r="AC22" i="12"/>
  <c r="AC24" i="12" s="1"/>
  <c r="W24" i="12"/>
  <c r="V19" i="12"/>
  <c r="W21" i="12"/>
  <c r="M17" i="12"/>
  <c r="V7" i="12"/>
  <c r="V9" i="12" s="1"/>
  <c r="W9" i="12"/>
  <c r="D9" i="12"/>
  <c r="K65" i="13"/>
  <c r="K67" i="13" s="1"/>
  <c r="AH38" i="13"/>
  <c r="AH40" i="13" s="1"/>
  <c r="V35" i="13"/>
  <c r="I32" i="16"/>
  <c r="I41" i="16" s="1"/>
  <c r="I117" i="16"/>
  <c r="D7" i="10"/>
  <c r="D25" i="10" s="1"/>
  <c r="E7" i="10"/>
  <c r="E25" i="10" s="1"/>
  <c r="D17" i="6"/>
  <c r="AK46" i="12"/>
  <c r="AK47" i="12" s="1"/>
  <c r="Q7" i="15"/>
  <c r="Q25" i="15" s="1"/>
  <c r="Q17" i="12"/>
  <c r="Q31" i="12"/>
  <c r="AC56" i="13"/>
  <c r="AC65" i="13" s="1"/>
  <c r="AD65" i="13"/>
  <c r="AD60" i="13" s="1"/>
  <c r="Y38" i="13"/>
  <c r="Y24" i="13" s="1"/>
  <c r="C25" i="15"/>
  <c r="R7" i="15"/>
  <c r="H115" i="1"/>
  <c r="H32" i="1" s="1"/>
  <c r="H41" i="1" s="1"/>
  <c r="J15" i="1"/>
  <c r="F25" i="6"/>
  <c r="AI38" i="12"/>
  <c r="AI46" i="12" s="1"/>
  <c r="AI47" i="12" s="1"/>
  <c r="N53" i="17"/>
  <c r="AF31" i="12"/>
  <c r="AF17" i="12"/>
  <c r="AB7" i="15"/>
  <c r="AB25" i="15" s="1"/>
  <c r="AB17" i="12"/>
  <c r="AB25" i="12"/>
  <c r="T24" i="12"/>
  <c r="P24" i="12"/>
  <c r="L7" i="15"/>
  <c r="L25" i="15" s="1"/>
  <c r="L17" i="12"/>
  <c r="L25" i="12"/>
  <c r="AJ11" i="12"/>
  <c r="AJ12" i="12" s="1"/>
  <c r="AK12" i="12"/>
  <c r="D12" i="12"/>
  <c r="R9" i="12"/>
  <c r="O7" i="12"/>
  <c r="O21" i="12" s="1"/>
  <c r="P12" i="12"/>
  <c r="G69" i="9"/>
  <c r="D27" i="9"/>
  <c r="D30" i="9"/>
  <c r="D33" i="9"/>
  <c r="D36" i="9"/>
  <c r="D40" i="9"/>
  <c r="D41" i="9"/>
  <c r="D24" i="9"/>
  <c r="O62" i="13"/>
  <c r="G7" i="15"/>
  <c r="G25" i="15" s="1"/>
  <c r="V21" i="17"/>
  <c r="V26" i="17" s="1"/>
  <c r="T21" i="17"/>
  <c r="T26" i="17" s="1"/>
  <c r="I9" i="1"/>
  <c r="I53" i="6" s="1"/>
  <c r="U21" i="17"/>
  <c r="U26" i="17" s="1"/>
  <c r="I36" i="1"/>
  <c r="J26" i="11"/>
  <c r="S21" i="17"/>
  <c r="S26" i="17" s="1"/>
  <c r="AF35" i="12"/>
  <c r="AG40" i="12"/>
  <c r="T51" i="17" s="1"/>
  <c r="T54" i="17" s="1"/>
  <c r="T63" i="17" s="1"/>
  <c r="T75" i="17" s="1"/>
  <c r="T112" i="17" s="1"/>
  <c r="H7" i="10"/>
  <c r="H25" i="10" s="1"/>
  <c r="H17" i="6"/>
  <c r="H25" i="6"/>
  <c r="H31" i="6"/>
  <c r="D7" i="15"/>
  <c r="D25" i="15" s="1"/>
  <c r="D17" i="12"/>
  <c r="D25" i="12"/>
  <c r="I37" i="6"/>
  <c r="I38" i="6"/>
  <c r="I46" i="6" s="1"/>
  <c r="I47" i="6" s="1"/>
  <c r="I40" i="6"/>
  <c r="I51" i="11" s="1"/>
  <c r="G7" i="10"/>
  <c r="G25" i="10" s="1"/>
  <c r="G25" i="6"/>
  <c r="G31" i="6"/>
  <c r="AE37" i="12"/>
  <c r="R21" i="12"/>
  <c r="AA24" i="12"/>
  <c r="X7" i="15"/>
  <c r="X25" i="15" s="1"/>
  <c r="X17" i="12"/>
  <c r="X25" i="12"/>
  <c r="I21" i="12"/>
  <c r="H19" i="12"/>
  <c r="D21" i="12"/>
  <c r="W12" i="12"/>
  <c r="R12" i="12"/>
  <c r="V59" i="13"/>
  <c r="AF36" i="13"/>
  <c r="C30" i="13"/>
  <c r="C41" i="13"/>
  <c r="C27" i="13"/>
  <c r="D38" i="13"/>
  <c r="D30" i="13" s="1"/>
  <c r="C33" i="13"/>
  <c r="C36" i="13"/>
  <c r="D25" i="6"/>
  <c r="J48" i="9"/>
  <c r="J51" i="9"/>
  <c r="J54" i="9"/>
  <c r="J57" i="9"/>
  <c r="J60" i="9"/>
  <c r="J63" i="9"/>
  <c r="J68" i="9"/>
  <c r="J69" i="9"/>
  <c r="G38" i="9"/>
  <c r="G57" i="9"/>
  <c r="G51" i="9"/>
  <c r="G63" i="9"/>
  <c r="R60" i="13"/>
  <c r="R51" i="13"/>
  <c r="R54" i="13"/>
  <c r="R57" i="13"/>
  <c r="F65" i="13"/>
  <c r="F67" i="13" s="1"/>
  <c r="F48" i="13"/>
  <c r="V26" i="13"/>
  <c r="S61" i="16"/>
  <c r="S63" i="16" s="1"/>
  <c r="S38" i="16"/>
  <c r="Y7" i="15"/>
  <c r="Y25" i="15" s="1"/>
  <c r="Y17" i="12"/>
  <c r="Y31" i="12"/>
  <c r="AC53" i="13"/>
  <c r="AD67" i="13"/>
  <c r="L37" i="12"/>
  <c r="L38" i="12"/>
  <c r="L46" i="12" s="1"/>
  <c r="L47" i="12" s="1"/>
  <c r="AC21" i="12"/>
  <c r="I15" i="15"/>
  <c r="H15" i="15" s="1"/>
  <c r="O22" i="12"/>
  <c r="O24" i="12" s="1"/>
  <c r="X40" i="12"/>
  <c r="O51" i="17" s="1"/>
  <c r="O54" i="17" s="1"/>
  <c r="O63" i="17" s="1"/>
  <c r="O75" i="17" s="1"/>
  <c r="O112" i="17" s="1"/>
  <c r="R38" i="12"/>
  <c r="R46" i="12" s="1"/>
  <c r="R47" i="12" s="1"/>
  <c r="N37" i="12"/>
  <c r="AD24" i="12"/>
  <c r="S7" i="15"/>
  <c r="S25" i="15" s="1"/>
  <c r="S17" i="12"/>
  <c r="F7" i="15"/>
  <c r="F25" i="15" s="1"/>
  <c r="F17" i="12"/>
  <c r="I12" i="12"/>
  <c r="AC12" i="12"/>
  <c r="H7" i="12"/>
  <c r="H12" i="12" s="1"/>
  <c r="I9" i="12"/>
  <c r="I15" i="12"/>
  <c r="AH17" i="12"/>
  <c r="AH31" i="12"/>
  <c r="N68" i="13"/>
  <c r="N54" i="13"/>
  <c r="N48" i="13"/>
  <c r="N57" i="13"/>
  <c r="N60" i="13"/>
  <c r="N38" i="13"/>
  <c r="N51" i="13"/>
  <c r="N67" i="13"/>
  <c r="C35" i="16"/>
  <c r="AG38" i="12"/>
  <c r="AG46" i="12" s="1"/>
  <c r="AG47" i="12" s="1"/>
  <c r="AB37" i="12"/>
  <c r="AB38" i="12"/>
  <c r="AB46" i="12" s="1"/>
  <c r="AB47" i="12" s="1"/>
  <c r="D31" i="6"/>
  <c r="AI40" i="12"/>
  <c r="U51" i="17" s="1"/>
  <c r="U54" i="17" s="1"/>
  <c r="U63" i="17" s="1"/>
  <c r="U75" i="17" s="1"/>
  <c r="U112" i="17" s="1"/>
  <c r="AK40" i="12"/>
  <c r="D31" i="12"/>
  <c r="S25" i="12"/>
  <c r="G25" i="12"/>
  <c r="P15" i="15"/>
  <c r="O15" i="15" s="1"/>
  <c r="V22" i="12"/>
  <c r="R17" i="12"/>
  <c r="N7" i="15"/>
  <c r="N25" i="15" s="1"/>
  <c r="N17" i="12"/>
  <c r="J7" i="15"/>
  <c r="J25" i="15" s="1"/>
  <c r="J17" i="12"/>
  <c r="J31" i="12"/>
  <c r="G60" i="9"/>
  <c r="L7" i="16"/>
  <c r="L8" i="16"/>
  <c r="F24" i="9"/>
  <c r="F33" i="9"/>
  <c r="F27" i="9"/>
  <c r="F40" i="9"/>
  <c r="C30" i="9"/>
  <c r="C41" i="9"/>
  <c r="C36" i="9"/>
  <c r="AB67" i="13"/>
  <c r="X51" i="13"/>
  <c r="X57" i="13"/>
  <c r="X63" i="13"/>
  <c r="X60" i="13"/>
  <c r="T48" i="13"/>
  <c r="Q24" i="13"/>
  <c r="Q27" i="13"/>
  <c r="Q33" i="13"/>
  <c r="I78" i="1"/>
  <c r="I8" i="1"/>
  <c r="O16" i="16"/>
  <c r="O21" i="16"/>
  <c r="AC39" i="12"/>
  <c r="AF36" i="12"/>
  <c r="AK25" i="12"/>
  <c r="AD15" i="12"/>
  <c r="C60" i="9"/>
  <c r="H51" i="9"/>
  <c r="C40" i="9"/>
  <c r="I27" i="9"/>
  <c r="I30" i="9"/>
  <c r="I33" i="9"/>
  <c r="I36" i="9"/>
  <c r="I40" i="9"/>
  <c r="I41" i="9"/>
  <c r="R68" i="13"/>
  <c r="M57" i="13"/>
  <c r="R67" i="13"/>
  <c r="Q30" i="13"/>
  <c r="U36" i="13"/>
  <c r="U33" i="13"/>
  <c r="U40" i="13"/>
  <c r="U27" i="13"/>
  <c r="U24" i="13"/>
  <c r="D28" i="1"/>
  <c r="D30" i="1" s="1"/>
  <c r="H28" i="16"/>
  <c r="H30" i="16" s="1"/>
  <c r="AK15" i="12"/>
  <c r="AI51" i="13"/>
  <c r="AI57" i="13"/>
  <c r="AI63" i="13"/>
  <c r="AI54" i="13"/>
  <c r="AA65" i="13"/>
  <c r="AA68" i="13" s="1"/>
  <c r="Q36" i="13"/>
  <c r="P17" i="13"/>
  <c r="AG48" i="13"/>
  <c r="AG68" i="13"/>
  <c r="AG63" i="13"/>
  <c r="AB54" i="13"/>
  <c r="AB60" i="13"/>
  <c r="AB63" i="13"/>
  <c r="Z67" i="13"/>
  <c r="Z68" i="13"/>
  <c r="V53" i="13"/>
  <c r="D65" i="13"/>
  <c r="D68" i="13" s="1"/>
  <c r="D48" i="13"/>
  <c r="J67" i="13"/>
  <c r="J38" i="13"/>
  <c r="J51" i="13"/>
  <c r="J48" i="13"/>
  <c r="J54" i="13"/>
  <c r="J68" i="13"/>
  <c r="I65" i="13"/>
  <c r="I57" i="13" s="1"/>
  <c r="H47" i="13"/>
  <c r="F21" i="1"/>
  <c r="F16" i="1"/>
  <c r="G8" i="1"/>
  <c r="I7" i="1"/>
  <c r="F8" i="1"/>
  <c r="Q21" i="16"/>
  <c r="Q16" i="16"/>
  <c r="H36" i="16"/>
  <c r="H9" i="16" s="1"/>
  <c r="H41" i="16"/>
  <c r="K22" i="16"/>
  <c r="K25" i="16" s="1"/>
  <c r="I8" i="16"/>
  <c r="I7" i="16"/>
  <c r="T60" i="13"/>
  <c r="T68" i="13"/>
  <c r="R63" i="13"/>
  <c r="F68" i="13"/>
  <c r="W48" i="13"/>
  <c r="AF38" i="13"/>
  <c r="AF30" i="13" s="1"/>
  <c r="P65" i="13"/>
  <c r="C51" i="13"/>
  <c r="C57" i="13"/>
  <c r="C63" i="13"/>
  <c r="C60" i="13"/>
  <c r="W38" i="13"/>
  <c r="W41" i="13" s="1"/>
  <c r="G63" i="16"/>
  <c r="S18" i="16"/>
  <c r="K26" i="16"/>
  <c r="T54" i="13"/>
  <c r="AC29" i="13"/>
  <c r="AD30" i="13"/>
  <c r="G67" i="13"/>
  <c r="G54" i="13"/>
  <c r="G60" i="13"/>
  <c r="T38" i="13"/>
  <c r="T41" i="13" s="1"/>
  <c r="K15" i="15"/>
  <c r="G16" i="1"/>
  <c r="G15" i="1"/>
  <c r="C21" i="1"/>
  <c r="S93" i="16"/>
  <c r="K38" i="16"/>
  <c r="K40" i="16" s="1"/>
  <c r="K36" i="16" s="1"/>
  <c r="K9" i="16" s="1"/>
  <c r="P7" i="16"/>
  <c r="P8" i="16"/>
  <c r="C75" i="16"/>
  <c r="C25" i="16"/>
  <c r="AD36" i="13"/>
  <c r="AD41" i="13"/>
  <c r="AA38" i="13"/>
  <c r="AA33" i="13" s="1"/>
  <c r="R38" i="13"/>
  <c r="R36" i="13" s="1"/>
  <c r="O56" i="13"/>
  <c r="O65" i="13" s="1"/>
  <c r="O51" i="13" s="1"/>
  <c r="P21" i="17"/>
  <c r="P26" i="17" s="1"/>
  <c r="R21" i="17"/>
  <c r="R26" i="17" s="1"/>
  <c r="I26" i="11"/>
  <c r="O21" i="17"/>
  <c r="O26" i="17" s="1"/>
  <c r="D26" i="11"/>
  <c r="C9" i="1"/>
  <c r="C53" i="6" s="1"/>
  <c r="C54" i="6" s="1"/>
  <c r="J106" i="16"/>
  <c r="J117" i="16" s="1"/>
  <c r="L78" i="16"/>
  <c r="O27" i="16"/>
  <c r="Q21" i="17"/>
  <c r="Q26" i="17" s="1"/>
  <c r="R15" i="15"/>
  <c r="G115" i="1"/>
  <c r="G32" i="1" s="1"/>
  <c r="G41" i="1" s="1"/>
  <c r="E21" i="1"/>
  <c r="H21" i="17"/>
  <c r="H26" i="17" s="1"/>
  <c r="J21" i="17"/>
  <c r="J26" i="17" s="1"/>
  <c r="G21" i="17"/>
  <c r="G26" i="17" s="1"/>
  <c r="I21" i="17"/>
  <c r="I26" i="17" s="1"/>
  <c r="E9" i="1"/>
  <c r="E53" i="6" s="1"/>
  <c r="E54" i="6" s="1"/>
  <c r="C117" i="1"/>
  <c r="L115" i="16"/>
  <c r="L32" i="16" s="1"/>
  <c r="C63" i="16"/>
  <c r="I68" i="13"/>
  <c r="D117" i="16"/>
  <c r="AE67" i="13"/>
  <c r="AE54" i="13"/>
  <c r="AE60" i="13"/>
  <c r="Q48" i="13"/>
  <c r="Q68" i="13"/>
  <c r="S30" i="13"/>
  <c r="S41" i="13"/>
  <c r="S27" i="13"/>
  <c r="W17" i="13"/>
  <c r="I115" i="1"/>
  <c r="F115" i="1"/>
  <c r="S40" i="16"/>
  <c r="J9" i="1"/>
  <c r="J53" i="6" s="1"/>
  <c r="J54" i="6" s="1"/>
  <c r="C93" i="16"/>
  <c r="Q7" i="16"/>
  <c r="AE40" i="13"/>
  <c r="E27" i="13"/>
  <c r="N36" i="16"/>
  <c r="O38" i="16"/>
  <c r="O40" i="16" s="1"/>
  <c r="O93" i="16"/>
  <c r="C38" i="16"/>
  <c r="C40" i="16" s="1"/>
  <c r="C36" i="16" s="1"/>
  <c r="C9" i="16" s="1"/>
  <c r="S68" i="16"/>
  <c r="H11" i="11"/>
  <c r="H15" i="11" s="1"/>
  <c r="H18" i="11" s="1"/>
  <c r="H27" i="11" s="1"/>
  <c r="H42" i="11" s="1"/>
  <c r="H45" i="11" s="1"/>
  <c r="N8" i="17"/>
  <c r="N11" i="17" s="1"/>
  <c r="N15" i="17" s="1"/>
  <c r="N18" i="17" s="1"/>
  <c r="N27" i="17" s="1"/>
  <c r="G26" i="16"/>
  <c r="L21" i="17"/>
  <c r="L26" i="17" s="1"/>
  <c r="M21" i="17"/>
  <c r="M26" i="17" s="1"/>
  <c r="N21" i="17"/>
  <c r="N26" i="17" s="1"/>
  <c r="K21" i="17"/>
  <c r="K26" i="17" s="1"/>
  <c r="G9" i="1"/>
  <c r="G53" i="6" s="1"/>
  <c r="G54" i="6" s="1"/>
  <c r="N63" i="16"/>
  <c r="N78" i="16" s="1"/>
  <c r="M115" i="16"/>
  <c r="M32" i="16" s="1"/>
  <c r="M41" i="16" s="1"/>
  <c r="E115" i="16"/>
  <c r="E32" i="16" s="1"/>
  <c r="E41" i="16" s="1"/>
  <c r="C115" i="16"/>
  <c r="C32" i="16" s="1"/>
  <c r="C26" i="16"/>
  <c r="J21" i="16"/>
  <c r="AI41" i="13"/>
  <c r="L40" i="13"/>
  <c r="D76" i="1"/>
  <c r="R25" i="16"/>
  <c r="R27" i="16" s="1"/>
  <c r="R28" i="16" s="1"/>
  <c r="R30" i="16" s="1"/>
  <c r="J25" i="16"/>
  <c r="J27" i="16" s="1"/>
  <c r="E15" i="16"/>
  <c r="E28" i="16"/>
  <c r="E30" i="16" s="1"/>
  <c r="R9" i="16"/>
  <c r="R36" i="16"/>
  <c r="P40" i="16"/>
  <c r="G24" i="16"/>
  <c r="G25" i="16" s="1"/>
  <c r="D8" i="16"/>
  <c r="S26" i="16"/>
  <c r="S27" i="16" s="1"/>
  <c r="C19" i="16"/>
  <c r="C21" i="16" s="1"/>
  <c r="J7" i="16"/>
  <c r="J8" i="16"/>
  <c r="N21" i="16"/>
  <c r="M8" i="16"/>
  <c r="J15" i="11"/>
  <c r="J18" i="11" s="1"/>
  <c r="J27" i="11" s="1"/>
  <c r="G11" i="11"/>
  <c r="G15" i="11" s="1"/>
  <c r="G18" i="11" s="1"/>
  <c r="G27" i="11" s="1"/>
  <c r="M15" i="17"/>
  <c r="M18" i="17" s="1"/>
  <c r="M27" i="17" s="1"/>
  <c r="O11" i="17"/>
  <c r="O15" i="17" s="1"/>
  <c r="O18" i="17" s="1"/>
  <c r="O27" i="17" s="1"/>
  <c r="G35" i="16"/>
  <c r="I28" i="16"/>
  <c r="I30" i="16" s="1"/>
  <c r="N8" i="16"/>
  <c r="R76" i="16"/>
  <c r="R78" i="16" s="1"/>
  <c r="K35" i="16"/>
  <c r="N16" i="16"/>
  <c r="J109" i="17"/>
  <c r="R109" i="17"/>
  <c r="T11" i="17"/>
  <c r="T15" i="17" s="1"/>
  <c r="T18" i="17" s="1"/>
  <c r="T27" i="17" s="1"/>
  <c r="L21" i="16"/>
  <c r="D21" i="16"/>
  <c r="C8" i="1" l="1"/>
  <c r="C78" i="16"/>
  <c r="G28" i="1"/>
  <c r="G30" i="1" s="1"/>
  <c r="C76" i="16"/>
  <c r="G115" i="16"/>
  <c r="G32" i="16" s="1"/>
  <c r="G41" i="16" s="1"/>
  <c r="H78" i="1"/>
  <c r="O63" i="16"/>
  <c r="O78" i="16" s="1"/>
  <c r="G27" i="16"/>
  <c r="H7" i="1"/>
  <c r="Q36" i="16"/>
  <c r="H28" i="1"/>
  <c r="H30" i="1" s="1"/>
  <c r="E117" i="1"/>
  <c r="H8" i="1"/>
  <c r="S115" i="16"/>
  <c r="S32" i="16" s="1"/>
  <c r="C78" i="1"/>
  <c r="K78" i="16"/>
  <c r="G42" i="11"/>
  <c r="G45" i="11" s="1"/>
  <c r="H7" i="16"/>
  <c r="H8" i="16"/>
  <c r="AA51" i="13"/>
  <c r="T27" i="13"/>
  <c r="R25" i="15"/>
  <c r="M63" i="13"/>
  <c r="M48" i="13"/>
  <c r="M51" i="13"/>
  <c r="M54" i="13"/>
  <c r="M15" i="16"/>
  <c r="S106" i="16"/>
  <c r="L117" i="16"/>
  <c r="G27" i="13"/>
  <c r="E7" i="1"/>
  <c r="I28" i="1"/>
  <c r="I30" i="1" s="1"/>
  <c r="I54" i="11"/>
  <c r="I63" i="11" s="1"/>
  <c r="I75" i="11" s="1"/>
  <c r="I112" i="11" s="1"/>
  <c r="R37" i="12"/>
  <c r="K25" i="15"/>
  <c r="G117" i="1"/>
  <c r="E7" i="16"/>
  <c r="E8" i="16"/>
  <c r="Z40" i="12"/>
  <c r="P51" i="17" s="1"/>
  <c r="P54" i="17" s="1"/>
  <c r="P63" i="17" s="1"/>
  <c r="P75" i="17" s="1"/>
  <c r="P112" i="17" s="1"/>
  <c r="Z38" i="12"/>
  <c r="Z46" i="12" s="1"/>
  <c r="Z47" i="12" s="1"/>
  <c r="Z37" i="12"/>
  <c r="K51" i="13"/>
  <c r="W57" i="13"/>
  <c r="W63" i="13"/>
  <c r="T40" i="13"/>
  <c r="AA60" i="13"/>
  <c r="Q8" i="16"/>
  <c r="E8" i="1"/>
  <c r="E117" i="16"/>
  <c r="J78" i="1"/>
  <c r="P28" i="16"/>
  <c r="P30" i="16" s="1"/>
  <c r="M67" i="13"/>
  <c r="W51" i="13"/>
  <c r="W54" i="13"/>
  <c r="G28" i="16"/>
  <c r="G30" i="16" s="1"/>
  <c r="W60" i="13"/>
  <c r="F15" i="16"/>
  <c r="AF40" i="13"/>
  <c r="C40" i="12"/>
  <c r="C51" i="17" s="1"/>
  <c r="C54" i="17" s="1"/>
  <c r="C63" i="17" s="1"/>
  <c r="C75" i="17" s="1"/>
  <c r="C112" i="17" s="1"/>
  <c r="C117" i="17" s="1"/>
  <c r="V15" i="12"/>
  <c r="R25" i="12"/>
  <c r="F37" i="12"/>
  <c r="J7" i="1"/>
  <c r="T63" i="13"/>
  <c r="M68" i="13"/>
  <c r="G41" i="13"/>
  <c r="G30" i="13"/>
  <c r="G36" i="13"/>
  <c r="F38" i="13"/>
  <c r="L33" i="13"/>
  <c r="L24" i="13"/>
  <c r="L41" i="13"/>
  <c r="L30" i="13"/>
  <c r="L27" i="13"/>
  <c r="L36" i="13"/>
  <c r="K60" i="13"/>
  <c r="K106" i="16"/>
  <c r="K117" i="16" s="1"/>
  <c r="G40" i="13"/>
  <c r="T36" i="13"/>
  <c r="W67" i="13"/>
  <c r="H15" i="1"/>
  <c r="M60" i="13"/>
  <c r="G24" i="13"/>
  <c r="V38" i="13"/>
  <c r="AI48" i="13"/>
  <c r="AI68" i="13"/>
  <c r="AI60" i="13"/>
  <c r="AI67" i="13"/>
  <c r="K42" i="17"/>
  <c r="K45" i="17" s="1"/>
  <c r="I42" i="17"/>
  <c r="I45" i="17" s="1"/>
  <c r="G42" i="17"/>
  <c r="G45" i="17" s="1"/>
  <c r="P42" i="17"/>
  <c r="P45" i="17" s="1"/>
  <c r="Q42" i="17"/>
  <c r="Q45" i="17" s="1"/>
  <c r="T45" i="17"/>
  <c r="AJ40" i="12"/>
  <c r="AJ38" i="12"/>
  <c r="AJ46" i="12" s="1"/>
  <c r="AJ47" i="12" s="1"/>
  <c r="D42" i="11"/>
  <c r="D45" i="11" s="1"/>
  <c r="C38" i="6"/>
  <c r="C46" i="6" s="1"/>
  <c r="C47" i="6" s="1"/>
  <c r="C37" i="6"/>
  <c r="I25" i="15"/>
  <c r="E42" i="11"/>
  <c r="E45" i="11" s="1"/>
  <c r="AJ17" i="12"/>
  <c r="I25" i="12"/>
  <c r="F37" i="6"/>
  <c r="F38" i="6"/>
  <c r="F46" i="6" s="1"/>
  <c r="F47" i="6" s="1"/>
  <c r="F40" i="6"/>
  <c r="F51" i="11" s="1"/>
  <c r="F54" i="11" s="1"/>
  <c r="F63" i="11" s="1"/>
  <c r="F75" i="11" s="1"/>
  <c r="F112" i="11" s="1"/>
  <c r="F117" i="11" s="1"/>
  <c r="G114" i="11" s="1"/>
  <c r="J114" i="17" s="1"/>
  <c r="I31" i="12"/>
  <c r="AK37" i="12"/>
  <c r="L36" i="16"/>
  <c r="L9" i="16"/>
  <c r="K41" i="16"/>
  <c r="G117" i="16"/>
  <c r="S76" i="16"/>
  <c r="S7" i="16" s="1"/>
  <c r="O106" i="16"/>
  <c r="O117" i="16" s="1"/>
  <c r="C106" i="16"/>
  <c r="C117" i="16" s="1"/>
  <c r="H117" i="1"/>
  <c r="D117" i="1"/>
  <c r="J42" i="17"/>
  <c r="J45" i="17" s="1"/>
  <c r="I42" i="11"/>
  <c r="I45" i="11" s="1"/>
  <c r="R42" i="17"/>
  <c r="R45" i="17" s="1"/>
  <c r="V45" i="17"/>
  <c r="S45" i="17"/>
  <c r="U45" i="17"/>
  <c r="L42" i="17"/>
  <c r="L45" i="17" s="1"/>
  <c r="H42" i="17"/>
  <c r="H45" i="17" s="1"/>
  <c r="J45" i="11"/>
  <c r="C15" i="16"/>
  <c r="S8" i="16"/>
  <c r="V33" i="13"/>
  <c r="V30" i="13"/>
  <c r="V24" i="13"/>
  <c r="V41" i="13"/>
  <c r="AC7" i="15"/>
  <c r="AC25" i="15" s="1"/>
  <c r="AC17" i="12"/>
  <c r="AC25" i="12"/>
  <c r="AC31" i="12"/>
  <c r="J15" i="16"/>
  <c r="J28" i="16"/>
  <c r="J30" i="16" s="1"/>
  <c r="P51" i="13"/>
  <c r="P38" i="13"/>
  <c r="P60" i="13"/>
  <c r="P54" i="13"/>
  <c r="P48" i="13"/>
  <c r="D7" i="1"/>
  <c r="D8" i="1"/>
  <c r="R30" i="13"/>
  <c r="R33" i="13"/>
  <c r="R40" i="13"/>
  <c r="R41" i="13"/>
  <c r="R24" i="13"/>
  <c r="W24" i="13"/>
  <c r="H38" i="6"/>
  <c r="H46" i="6" s="1"/>
  <c r="H47" i="6" s="1"/>
  <c r="H37" i="6"/>
  <c r="H40" i="6"/>
  <c r="H51" i="11" s="1"/>
  <c r="H54" i="11" s="1"/>
  <c r="H63" i="11" s="1"/>
  <c r="H75" i="11" s="1"/>
  <c r="H112" i="11" s="1"/>
  <c r="AC51" i="13"/>
  <c r="AC63" i="13"/>
  <c r="L41" i="16"/>
  <c r="H65" i="13"/>
  <c r="H48" i="13" s="1"/>
  <c r="AH38" i="12"/>
  <c r="AH46" i="12" s="1"/>
  <c r="AH47" i="12" s="1"/>
  <c r="AH40" i="12"/>
  <c r="V63" i="17" s="1"/>
  <c r="V75" i="17" s="1"/>
  <c r="V112" i="17" s="1"/>
  <c r="AH37" i="12"/>
  <c r="AD54" i="13"/>
  <c r="AA27" i="13"/>
  <c r="C8" i="16"/>
  <c r="C7" i="16"/>
  <c r="C15" i="1"/>
  <c r="C28" i="1"/>
  <c r="C30" i="1" s="1"/>
  <c r="W40" i="13"/>
  <c r="P67" i="13"/>
  <c r="AC60" i="13"/>
  <c r="Q28" i="16"/>
  <c r="Q30" i="16" s="1"/>
  <c r="Q15" i="16"/>
  <c r="Y33" i="13"/>
  <c r="AF37" i="12"/>
  <c r="D40" i="6"/>
  <c r="D51" i="11" s="1"/>
  <c r="D54" i="11" s="1"/>
  <c r="D63" i="11" s="1"/>
  <c r="D75" i="11" s="1"/>
  <c r="D112" i="11" s="1"/>
  <c r="D117" i="11" s="1"/>
  <c r="D38" i="6"/>
  <c r="D46" i="6" s="1"/>
  <c r="D47" i="6" s="1"/>
  <c r="AD7" i="15"/>
  <c r="AD25" i="15" s="1"/>
  <c r="AD17" i="12"/>
  <c r="AD31" i="12"/>
  <c r="AD25" i="12"/>
  <c r="Y38" i="12"/>
  <c r="Y46" i="12" s="1"/>
  <c r="Y47" i="12" s="1"/>
  <c r="Y40" i="12"/>
  <c r="Y37" i="12"/>
  <c r="AA7" i="15"/>
  <c r="AA25" i="15" s="1"/>
  <c r="AA17" i="12"/>
  <c r="AA31" i="12"/>
  <c r="AA25" i="12"/>
  <c r="O48" i="13"/>
  <c r="AA36" i="13"/>
  <c r="AA40" i="13"/>
  <c r="AA24" i="13"/>
  <c r="W33" i="13"/>
  <c r="W30" i="13"/>
  <c r="K15" i="16"/>
  <c r="O54" i="13"/>
  <c r="F28" i="1"/>
  <c r="F30" i="1" s="1"/>
  <c r="F15" i="1"/>
  <c r="D54" i="13"/>
  <c r="D57" i="13"/>
  <c r="D51" i="13"/>
  <c r="D67" i="13"/>
  <c r="P68" i="13"/>
  <c r="AF38" i="12"/>
  <c r="AF46" i="12" s="1"/>
  <c r="AF47" i="12" s="1"/>
  <c r="AF40" i="12"/>
  <c r="Q38" i="12"/>
  <c r="Q46" i="12" s="1"/>
  <c r="Q47" i="12" s="1"/>
  <c r="Q40" i="12"/>
  <c r="K51" i="17" s="1"/>
  <c r="K54" i="17" s="1"/>
  <c r="K63" i="17" s="1"/>
  <c r="K75" i="17" s="1"/>
  <c r="K112" i="17" s="1"/>
  <c r="Q37" i="12"/>
  <c r="E40" i="12"/>
  <c r="D51" i="17" s="1"/>
  <c r="D54" i="17" s="1"/>
  <c r="D63" i="17" s="1"/>
  <c r="D75" i="17" s="1"/>
  <c r="D112" i="17" s="1"/>
  <c r="D117" i="17" s="1"/>
  <c r="E38" i="12"/>
  <c r="E46" i="12" s="1"/>
  <c r="E47" i="12" s="1"/>
  <c r="C41" i="16"/>
  <c r="M42" i="17"/>
  <c r="M45" i="17" s="1"/>
  <c r="F32" i="1"/>
  <c r="F41" i="1" s="1"/>
  <c r="F117" i="1"/>
  <c r="P57" i="13"/>
  <c r="T33" i="13"/>
  <c r="S21" i="16"/>
  <c r="S16" i="16"/>
  <c r="K27" i="16"/>
  <c r="K28" i="16" s="1"/>
  <c r="K30" i="16" s="1"/>
  <c r="AA67" i="13"/>
  <c r="O15" i="16"/>
  <c r="O28" i="16"/>
  <c r="O30" i="16" s="1"/>
  <c r="J37" i="12"/>
  <c r="J40" i="12"/>
  <c r="G51" i="17" s="1"/>
  <c r="G54" i="17" s="1"/>
  <c r="G63" i="17" s="1"/>
  <c r="G75" i="17" s="1"/>
  <c r="G112" i="17" s="1"/>
  <c r="J38" i="12"/>
  <c r="J46" i="12" s="1"/>
  <c r="J47" i="12" s="1"/>
  <c r="F57" i="13"/>
  <c r="F54" i="13"/>
  <c r="F63" i="13"/>
  <c r="F51" i="13"/>
  <c r="F60" i="13"/>
  <c r="H21" i="12"/>
  <c r="H24" i="12"/>
  <c r="AA54" i="13"/>
  <c r="O63" i="13"/>
  <c r="M40" i="12"/>
  <c r="M38" i="12"/>
  <c r="M46" i="12" s="1"/>
  <c r="M47" i="12" s="1"/>
  <c r="V12" i="12"/>
  <c r="O7" i="16"/>
  <c r="O8" i="16"/>
  <c r="AA41" i="13"/>
  <c r="Y65" i="13"/>
  <c r="Y36" i="13"/>
  <c r="AH36" i="13"/>
  <c r="AH65" i="13"/>
  <c r="AH33" i="13"/>
  <c r="N28" i="16"/>
  <c r="N30" i="16" s="1"/>
  <c r="N15" i="16"/>
  <c r="N42" i="17"/>
  <c r="N45" i="17" s="1"/>
  <c r="S9" i="16"/>
  <c r="S36" i="16"/>
  <c r="Y30" i="13"/>
  <c r="AH30" i="13"/>
  <c r="I38" i="12"/>
  <c r="I46" i="12" s="1"/>
  <c r="I47" i="12" s="1"/>
  <c r="I40" i="12"/>
  <c r="F51" i="17" s="1"/>
  <c r="F54" i="17" s="1"/>
  <c r="F63" i="17" s="1"/>
  <c r="F75" i="17" s="1"/>
  <c r="F112" i="17" s="1"/>
  <c r="F117" i="17" s="1"/>
  <c r="I37" i="12"/>
  <c r="O67" i="13"/>
  <c r="D28" i="16"/>
  <c r="D30" i="16" s="1"/>
  <c r="D15" i="16"/>
  <c r="P36" i="16"/>
  <c r="P9" i="16"/>
  <c r="P41" i="16"/>
  <c r="I117" i="1"/>
  <c r="I32" i="1"/>
  <c r="I41" i="1" s="1"/>
  <c r="D60" i="13"/>
  <c r="O68" i="13"/>
  <c r="O57" i="13"/>
  <c r="T30" i="13"/>
  <c r="T24" i="13"/>
  <c r="AA30" i="13"/>
  <c r="G78" i="16"/>
  <c r="AF24" i="13"/>
  <c r="AF65" i="13"/>
  <c r="AF27" i="13"/>
  <c r="AF33" i="13"/>
  <c r="AF41" i="13"/>
  <c r="K8" i="16"/>
  <c r="K7" i="16"/>
  <c r="J27" i="13"/>
  <c r="J41" i="13"/>
  <c r="J30" i="13"/>
  <c r="J40" i="13"/>
  <c r="J36" i="13"/>
  <c r="K38" i="13"/>
  <c r="J33" i="13"/>
  <c r="J24" i="13"/>
  <c r="V65" i="13"/>
  <c r="V54" i="13" s="1"/>
  <c r="AA57" i="13"/>
  <c r="AA63" i="13"/>
  <c r="AA48" i="13"/>
  <c r="AH41" i="13"/>
  <c r="G37" i="6"/>
  <c r="G40" i="6"/>
  <c r="G38" i="6"/>
  <c r="G46" i="6" s="1"/>
  <c r="G47" i="6" s="1"/>
  <c r="P63" i="13"/>
  <c r="O9" i="12"/>
  <c r="O12" i="12"/>
  <c r="P7" i="15"/>
  <c r="P25" i="15" s="1"/>
  <c r="P17" i="12"/>
  <c r="P25" i="12"/>
  <c r="P31" i="12"/>
  <c r="AD57" i="13"/>
  <c r="O15" i="12"/>
  <c r="O7" i="15"/>
  <c r="O25" i="15" s="1"/>
  <c r="O17" i="12"/>
  <c r="O31" i="12"/>
  <c r="O25" i="12"/>
  <c r="E28" i="1"/>
  <c r="E30" i="1" s="1"/>
  <c r="E15" i="1"/>
  <c r="AC30" i="13"/>
  <c r="AC38" i="13"/>
  <c r="AC40" i="13" s="1"/>
  <c r="D78" i="1"/>
  <c r="AC57" i="13"/>
  <c r="AC68" i="13"/>
  <c r="V36" i="13"/>
  <c r="V24" i="12"/>
  <c r="V21" i="12"/>
  <c r="M37" i="12"/>
  <c r="G7" i="16"/>
  <c r="G8" i="16"/>
  <c r="L28" i="16"/>
  <c r="L30" i="16" s="1"/>
  <c r="L15" i="16"/>
  <c r="D38" i="12"/>
  <c r="D46" i="12" s="1"/>
  <c r="D47" i="12" s="1"/>
  <c r="D40" i="12"/>
  <c r="D41" i="13"/>
  <c r="D36" i="13"/>
  <c r="D27" i="13"/>
  <c r="T17" i="12"/>
  <c r="T25" i="12"/>
  <c r="T7" i="15"/>
  <c r="T25" i="15" s="1"/>
  <c r="T31" i="12"/>
  <c r="AD51" i="13"/>
  <c r="AD63" i="13"/>
  <c r="AD48" i="13"/>
  <c r="O41" i="16"/>
  <c r="R27" i="13"/>
  <c r="AH24" i="13"/>
  <c r="D24" i="13"/>
  <c r="W27" i="13"/>
  <c r="AC48" i="13"/>
  <c r="R7" i="16"/>
  <c r="R8" i="16"/>
  <c r="O9" i="16"/>
  <c r="O36" i="16"/>
  <c r="S41" i="16"/>
  <c r="O42" i="17"/>
  <c r="O45" i="17" s="1"/>
  <c r="C27" i="16"/>
  <c r="C28" i="16" s="1"/>
  <c r="C30" i="16" s="1"/>
  <c r="M117" i="16"/>
  <c r="D33" i="13"/>
  <c r="D40" i="13"/>
  <c r="I38" i="13"/>
  <c r="I60" i="13"/>
  <c r="I48" i="13"/>
  <c r="I54" i="13"/>
  <c r="I51" i="13"/>
  <c r="I67" i="13"/>
  <c r="I63" i="13"/>
  <c r="Y41" i="13"/>
  <c r="O60" i="13"/>
  <c r="Y27" i="13"/>
  <c r="N24" i="13"/>
  <c r="N36" i="13"/>
  <c r="N30" i="13"/>
  <c r="N41" i="13"/>
  <c r="M38" i="13"/>
  <c r="N27" i="13"/>
  <c r="N40" i="13"/>
  <c r="N33" i="13"/>
  <c r="H15" i="12"/>
  <c r="H9" i="12"/>
  <c r="AC54" i="13"/>
  <c r="AC67" i="13"/>
  <c r="V40" i="13"/>
  <c r="V27" i="13"/>
  <c r="G24" i="9"/>
  <c r="G36" i="9"/>
  <c r="G41" i="9"/>
  <c r="G33" i="9"/>
  <c r="G30" i="9"/>
  <c r="G27" i="9"/>
  <c r="G40" i="9"/>
  <c r="D63" i="13"/>
  <c r="Y40" i="13"/>
  <c r="AD68" i="13"/>
  <c r="AH27" i="13"/>
  <c r="W36" i="13"/>
  <c r="K57" i="13"/>
  <c r="K63" i="13"/>
  <c r="K54" i="13"/>
  <c r="K48" i="13"/>
  <c r="K68" i="13"/>
  <c r="W7" i="15"/>
  <c r="W25" i="15" s="1"/>
  <c r="W17" i="12"/>
  <c r="W25" i="12"/>
  <c r="W31" i="12"/>
  <c r="K40" i="12"/>
  <c r="K38" i="12"/>
  <c r="K46" i="12" s="1"/>
  <c r="K47" i="12" s="1"/>
  <c r="S117" i="16" l="1"/>
  <c r="H67" i="13"/>
  <c r="S78" i="16"/>
  <c r="F27" i="13"/>
  <c r="F30" i="13"/>
  <c r="F41" i="13"/>
  <c r="F40" i="13"/>
  <c r="F33" i="13"/>
  <c r="F24" i="13"/>
  <c r="F36" i="13"/>
  <c r="G114" i="17"/>
  <c r="G117" i="17" s="1"/>
  <c r="I114" i="17"/>
  <c r="I117" i="17" s="1"/>
  <c r="V60" i="13"/>
  <c r="T37" i="12"/>
  <c r="T38" i="12"/>
  <c r="T46" i="12" s="1"/>
  <c r="T47" i="12" s="1"/>
  <c r="T40" i="12"/>
  <c r="AH68" i="13"/>
  <c r="AH63" i="13"/>
  <c r="AH48" i="13"/>
  <c r="AH51" i="13"/>
  <c r="AH67" i="13"/>
  <c r="AH54" i="13"/>
  <c r="AH60" i="13"/>
  <c r="AH57" i="13"/>
  <c r="H60" i="13"/>
  <c r="H54" i="13"/>
  <c r="H57" i="13"/>
  <c r="H51" i="13"/>
  <c r="H63" i="13"/>
  <c r="H68" i="13"/>
  <c r="AC40" i="12"/>
  <c r="AC38" i="12"/>
  <c r="AC46" i="12" s="1"/>
  <c r="AC47" i="12" s="1"/>
  <c r="AC37" i="12"/>
  <c r="O38" i="12"/>
  <c r="O46" i="12" s="1"/>
  <c r="O47" i="12" s="1"/>
  <c r="O40" i="12"/>
  <c r="O37" i="12"/>
  <c r="K24" i="13"/>
  <c r="K36" i="13"/>
  <c r="K41" i="13"/>
  <c r="K33" i="13"/>
  <c r="K40" i="13"/>
  <c r="K27" i="13"/>
  <c r="K30" i="13"/>
  <c r="AD40" i="12"/>
  <c r="R51" i="17" s="1"/>
  <c r="R63" i="17" s="1"/>
  <c r="R75" i="17" s="1"/>
  <c r="R112" i="17" s="1"/>
  <c r="AD38" i="12"/>
  <c r="AD46" i="12" s="1"/>
  <c r="AD47" i="12" s="1"/>
  <c r="AD37" i="12"/>
  <c r="P38" i="12"/>
  <c r="P46" i="12" s="1"/>
  <c r="P47" i="12" s="1"/>
  <c r="P37" i="12"/>
  <c r="P40" i="12"/>
  <c r="V7" i="15"/>
  <c r="V25" i="15" s="1"/>
  <c r="V17" i="12"/>
  <c r="V31" i="12"/>
  <c r="V25" i="12"/>
  <c r="J51" i="17"/>
  <c r="J54" i="17" s="1"/>
  <c r="J63" i="17" s="1"/>
  <c r="J75" i="17" s="1"/>
  <c r="J112" i="17" s="1"/>
  <c r="J117" i="17" s="1"/>
  <c r="G51" i="11"/>
  <c r="G54" i="11" s="1"/>
  <c r="G63" i="11" s="1"/>
  <c r="G75" i="11" s="1"/>
  <c r="G112" i="11" s="1"/>
  <c r="G117" i="11" s="1"/>
  <c r="H114" i="11" s="1"/>
  <c r="N114" i="17" s="1"/>
  <c r="I36" i="13"/>
  <c r="I24" i="13"/>
  <c r="I30" i="13"/>
  <c r="I40" i="13"/>
  <c r="I41" i="13"/>
  <c r="I27" i="13"/>
  <c r="H38" i="13"/>
  <c r="I33" i="13"/>
  <c r="AA40" i="12"/>
  <c r="AA38" i="12"/>
  <c r="AA46" i="12" s="1"/>
  <c r="AA47" i="12" s="1"/>
  <c r="AA37" i="12"/>
  <c r="Y48" i="13"/>
  <c r="Y54" i="13"/>
  <c r="Y51" i="13"/>
  <c r="Y63" i="13"/>
  <c r="Y57" i="13"/>
  <c r="Y67" i="13"/>
  <c r="Y68" i="13"/>
  <c r="Y60" i="13"/>
  <c r="S15" i="16"/>
  <c r="S28" i="16"/>
  <c r="S30" i="16" s="1"/>
  <c r="P36" i="13"/>
  <c r="P24" i="13"/>
  <c r="P27" i="13"/>
  <c r="P33" i="13"/>
  <c r="P41" i="13"/>
  <c r="P40" i="13"/>
  <c r="P30" i="13"/>
  <c r="O38" i="13"/>
  <c r="V48" i="13"/>
  <c r="V57" i="13"/>
  <c r="V51" i="13"/>
  <c r="V63" i="13"/>
  <c r="V67" i="13"/>
  <c r="M30" i="13"/>
  <c r="M33" i="13"/>
  <c r="M27" i="13"/>
  <c r="M36" i="13"/>
  <c r="M24" i="13"/>
  <c r="M40" i="13"/>
  <c r="M41" i="13"/>
  <c r="V68" i="13"/>
  <c r="W40" i="12"/>
  <c r="N51" i="17" s="1"/>
  <c r="N54" i="17" s="1"/>
  <c r="N63" i="17" s="1"/>
  <c r="N75" i="17" s="1"/>
  <c r="N112" i="17" s="1"/>
  <c r="W38" i="12"/>
  <c r="W46" i="12" s="1"/>
  <c r="W47" i="12" s="1"/>
  <c r="W37" i="12"/>
  <c r="AC24" i="13"/>
  <c r="AC41" i="13"/>
  <c r="AC36" i="13"/>
  <c r="AC33" i="13"/>
  <c r="AC27" i="13"/>
  <c r="AF48" i="13"/>
  <c r="AF60" i="13"/>
  <c r="AF68" i="13"/>
  <c r="AF63" i="13"/>
  <c r="AF54" i="13"/>
  <c r="AF51" i="13"/>
  <c r="AF67" i="13"/>
  <c r="AF57" i="13"/>
  <c r="H7" i="15"/>
  <c r="H25" i="15" s="1"/>
  <c r="H17" i="12"/>
  <c r="H25" i="12"/>
  <c r="H31" i="12"/>
  <c r="N117" i="17" l="1"/>
  <c r="O114" i="17" s="1"/>
  <c r="O117" i="17" s="1"/>
  <c r="H117" i="11"/>
  <c r="I114" i="11" s="1"/>
  <c r="R114" i="17" s="1"/>
  <c r="R117" i="17" s="1"/>
  <c r="H33" i="13"/>
  <c r="H41" i="13"/>
  <c r="H36" i="13"/>
  <c r="H27" i="13"/>
  <c r="H24" i="13"/>
  <c r="H40" i="13"/>
  <c r="H30" i="13"/>
  <c r="K114" i="17"/>
  <c r="K117" i="17" s="1"/>
  <c r="M114" i="17"/>
  <c r="M117" i="17" s="1"/>
  <c r="L114" i="17"/>
  <c r="L117" i="17" s="1"/>
  <c r="H38" i="12"/>
  <c r="H46" i="12" s="1"/>
  <c r="H47" i="12" s="1"/>
  <c r="H40" i="12"/>
  <c r="O36" i="13"/>
  <c r="O27" i="13"/>
  <c r="O30" i="13"/>
  <c r="O24" i="13"/>
  <c r="O33" i="13"/>
  <c r="O41" i="13"/>
  <c r="O40" i="13"/>
  <c r="V40" i="12"/>
  <c r="V38" i="12"/>
  <c r="V46" i="12" s="1"/>
  <c r="V47" i="12" s="1"/>
  <c r="V37" i="12"/>
  <c r="P114" i="17" l="1"/>
  <c r="P117" i="17" s="1"/>
  <c r="Q114" i="17"/>
  <c r="Q117" i="17" s="1"/>
  <c r="I117" i="11"/>
  <c r="U114" i="17"/>
  <c r="U117" i="17" s="1"/>
  <c r="S114" i="17"/>
  <c r="S117" i="17" s="1"/>
  <c r="T114" i="17"/>
  <c r="T117" i="17" s="1"/>
  <c r="J114" i="11" l="1"/>
  <c r="V114" i="17" s="1"/>
  <c r="V117" i="17" s="1"/>
  <c r="J117" i="11" l="1"/>
</calcChain>
</file>

<file path=xl/comments1.xml><?xml version="1.0" encoding="utf-8"?>
<comments xmlns="http://schemas.openxmlformats.org/spreadsheetml/2006/main">
  <authors>
    <author>Author</author>
  </authors>
  <commentList>
    <comment ref="I27" authorId="0" shapeId="0">
      <text>
        <r>
          <rPr>
            <sz val="10"/>
            <color indexed="81"/>
            <rFont val="Arial"/>
            <family val="2"/>
          </rPr>
          <t>o/w income of +71.0 due to the recognition of tax credits in Brazil, net of the associated legal expenses</t>
        </r>
      </text>
    </comment>
    <comment ref="J27" authorId="0" shapeId="0">
      <text>
        <r>
          <rPr>
            <sz val="10"/>
            <color indexed="81"/>
            <rFont val="Arial"/>
            <family val="2"/>
          </rPr>
          <t xml:space="preserve">o/w -59.8 of direct operating costs linked to the COVID-19 </t>
        </r>
      </text>
    </comment>
    <comment ref="I35" authorId="0" shapeId="0">
      <text>
        <r>
          <rPr>
            <sz val="10"/>
            <color indexed="81"/>
            <rFont val="Arial"/>
            <family val="2"/>
          </rPr>
          <t>o/w +107.3 of financial income deriving from Brazilian tax credits</t>
        </r>
      </text>
    </comment>
    <comment ref="I36" authorId="0" shapeId="0">
      <text>
        <r>
          <rPr>
            <sz val="10"/>
            <color indexed="81"/>
            <rFont val="Arial"/>
            <family val="2"/>
          </rPr>
          <t>o/w -34.5 of Brazilian tax credits impact</t>
        </r>
      </text>
    </comment>
  </commentList>
</comments>
</file>

<file path=xl/comments2.xml><?xml version="1.0" encoding="utf-8"?>
<comments xmlns="http://schemas.openxmlformats.org/spreadsheetml/2006/main">
  <authors>
    <author>Author</author>
  </authors>
  <commentList>
    <comment ref="AE27" authorId="0" shapeId="0">
      <text>
        <r>
          <rPr>
            <sz val="10"/>
            <color indexed="81"/>
            <rFont val="Arial"/>
            <family val="2"/>
          </rPr>
          <t xml:space="preserve">o/w -5.4 of direct operating costs linked to the COVID-19 </t>
        </r>
      </text>
    </comment>
    <comment ref="AF27" authorId="0" shapeId="0">
      <text>
        <r>
          <rPr>
            <sz val="10"/>
            <color indexed="81"/>
            <rFont val="Arial"/>
            <family val="2"/>
            <scheme val="major"/>
          </rPr>
          <t xml:space="preserve">o/w -21.0 of direct operating costs linked to the COVID-19 </t>
        </r>
      </text>
    </comment>
    <comment ref="AG27" authorId="0" shapeId="0">
      <text>
        <r>
          <rPr>
            <sz val="10"/>
            <color indexed="81"/>
            <rFont val="Arial"/>
            <family val="2"/>
          </rPr>
          <t xml:space="preserve">o/w -26.4 of direct operating costs linked to the COVID-19 </t>
        </r>
      </text>
    </comment>
    <comment ref="AH27" authorId="0" shapeId="0">
      <text>
        <r>
          <rPr>
            <sz val="10"/>
            <color indexed="81"/>
            <rFont val="Arial"/>
            <family val="2"/>
            <scheme val="major"/>
          </rPr>
          <t xml:space="preserve">o/w -6.1 of direct operating costs linked to the COVID-19 </t>
        </r>
      </text>
    </comment>
    <comment ref="AI27" authorId="0" shapeId="0">
      <text>
        <r>
          <rPr>
            <sz val="10"/>
            <color indexed="81"/>
            <rFont val="Arial"/>
            <family val="2"/>
          </rPr>
          <t xml:space="preserve">o/w -32.6 of direct operating costs linked to the COVID-19 </t>
        </r>
      </text>
    </comment>
    <comment ref="AJ27" authorId="0" shapeId="0">
      <text>
        <r>
          <rPr>
            <sz val="10"/>
            <color indexed="81"/>
            <rFont val="Arial"/>
            <family val="2"/>
            <scheme val="major"/>
          </rPr>
          <t xml:space="preserve">o/w -27.6 of direct operating costs linked to the COVID-19 </t>
        </r>
      </text>
    </comment>
    <comment ref="AK27" authorId="0" shapeId="0">
      <text>
        <r>
          <rPr>
            <sz val="10"/>
            <color indexed="81"/>
            <rFont val="Arial"/>
            <family val="2"/>
            <scheme val="major"/>
          </rPr>
          <t xml:space="preserve">o/w -59.8 of direct operating costs linked to the COVID-19 </t>
        </r>
      </text>
    </comment>
  </commentList>
</comments>
</file>

<file path=xl/comments3.xml><?xml version="1.0" encoding="utf-8"?>
<comments xmlns="http://schemas.openxmlformats.org/spreadsheetml/2006/main">
  <authors>
    <author>Author</author>
  </authors>
  <commentList>
    <comment ref="I17" authorId="0" shapeId="0">
      <text>
        <r>
          <rPr>
            <sz val="10"/>
            <color theme="1"/>
            <rFont val="Arial"/>
            <family val="2"/>
          </rPr>
          <t>including:
• +110 of cost-cutting Covid
• -78 of slowdown</t>
        </r>
      </text>
    </comment>
  </commentList>
</comments>
</file>

<file path=xl/comments4.xml><?xml version="1.0" encoding="utf-8"?>
<comments xmlns="http://schemas.openxmlformats.org/spreadsheetml/2006/main">
  <authors>
    <author>Author</author>
  </authors>
  <commentList>
    <comment ref="M17" authorId="0" shapeId="0">
      <text>
        <r>
          <rPr>
            <sz val="10"/>
            <color theme="1"/>
            <rFont val="Arial"/>
            <family val="2"/>
          </rPr>
          <t>including +21 of cost-cutting</t>
        </r>
      </text>
    </comment>
    <comment ref="N17" authorId="0" shapeId="0">
      <text>
        <r>
          <rPr>
            <sz val="10"/>
            <color theme="1"/>
            <rFont val="Arial"/>
            <family val="2"/>
          </rPr>
          <t>including +21 of cost-cutting</t>
        </r>
      </text>
    </comment>
    <comment ref="O17" authorId="0" shapeId="0">
      <text>
        <r>
          <rPr>
            <sz val="10"/>
            <color theme="1"/>
            <rFont val="Arial"/>
            <family val="2"/>
          </rPr>
          <t>including +29 of cost-cutting</t>
        </r>
      </text>
    </comment>
    <comment ref="P17" authorId="0" shapeId="0">
      <text>
        <r>
          <rPr>
            <sz val="10"/>
            <color theme="1"/>
            <rFont val="Arial"/>
            <family val="2"/>
          </rPr>
          <t>including 50 of cost-cutting</t>
        </r>
      </text>
    </comment>
    <comment ref="Q17" authorId="0" shapeId="0">
      <text>
        <r>
          <rPr>
            <sz val="10"/>
            <color theme="1"/>
            <rFont val="Arial"/>
            <family val="2"/>
          </rPr>
          <t>including +13 of cost-cutting</t>
        </r>
      </text>
    </comment>
    <comment ref="R17" authorId="0" shapeId="0">
      <text>
        <r>
          <rPr>
            <sz val="10"/>
            <color theme="1"/>
            <rFont val="Arial"/>
            <family val="2"/>
          </rPr>
          <t>including +17 of cost-cutting</t>
        </r>
      </text>
    </comment>
    <comment ref="S17" authorId="0" shapeId="0">
      <text>
        <r>
          <rPr>
            <sz val="10"/>
            <color theme="1"/>
            <rFont val="Arial"/>
            <family val="2"/>
          </rPr>
          <t>including +30 of cost-cutting</t>
        </r>
      </text>
    </comment>
    <comment ref="T17" authorId="0" shapeId="0">
      <text>
        <r>
          <rPr>
            <sz val="10"/>
            <color theme="1"/>
            <rFont val="Arial"/>
            <family val="2"/>
          </rPr>
          <t>including:
• +10 of cost-cutting
• -10 of unabsorbed fixed costs</t>
        </r>
      </text>
    </comment>
    <comment ref="U17" authorId="0" shapeId="0">
      <text>
        <r>
          <rPr>
            <sz val="10"/>
            <color theme="1"/>
            <rFont val="Arial"/>
            <family val="2"/>
          </rPr>
          <t>including:
• +40 of cost-cutting
• -10 of unabsorbed fixed costs</t>
        </r>
      </text>
    </comment>
    <comment ref="V17" authorId="0" shapeId="0">
      <text>
        <r>
          <rPr>
            <sz val="10"/>
            <color theme="1"/>
            <rFont val="Arial"/>
            <family val="2"/>
          </rPr>
          <t>including:
• +10 of cost-cutting
• -10 of unabsorbed fixed costs</t>
        </r>
      </text>
    </comment>
    <comment ref="W17" authorId="0" shapeId="0">
      <text>
        <r>
          <rPr>
            <sz val="10"/>
            <color theme="1"/>
            <rFont val="Arial"/>
            <family val="2"/>
          </rPr>
          <t>including 50 of cost-cutting</t>
        </r>
      </text>
    </comment>
    <comment ref="X17" authorId="0" shapeId="0">
      <text>
        <r>
          <rPr>
            <sz val="10"/>
            <color theme="1"/>
            <rFont val="Arial"/>
            <family val="2"/>
          </rPr>
          <t>including:
• +33 of cost-cutting Covid
• -16 of slowdown</t>
        </r>
      </text>
    </comment>
    <comment ref="Y17" authorId="0" shapeId="0">
      <text>
        <r>
          <rPr>
            <sz val="10"/>
            <color theme="1"/>
            <rFont val="Arial"/>
            <family val="2"/>
          </rPr>
          <t>including:
• +29 of cost-cutting Covid
• -54 of slowdown</t>
        </r>
      </text>
    </comment>
    <comment ref="Z17" authorId="0" shapeId="0">
      <text>
        <r>
          <rPr>
            <sz val="10"/>
            <color theme="1"/>
            <rFont val="Arial"/>
            <family val="2"/>
          </rPr>
          <t>including:
• +62 of cost-cutting Covid
• -71 of slowdown</t>
        </r>
      </text>
    </comment>
    <comment ref="AA17" authorId="0" shapeId="0">
      <text>
        <r>
          <rPr>
            <sz val="10"/>
            <color theme="1"/>
            <rFont val="Arial"/>
            <family val="2"/>
          </rPr>
          <t>including:
• +29 of cost-cutting
• -8 of unabsorbed fixed costs</t>
        </r>
      </text>
    </comment>
    <comment ref="AB17" authorId="0" shapeId="0">
      <text>
        <r>
          <rPr>
            <sz val="10"/>
            <color theme="1"/>
            <rFont val="Arial"/>
            <family val="2"/>
          </rPr>
          <t>including:
• +90 of cost-cutting
• -79 of unabsorbed fixed costs</t>
        </r>
      </text>
    </comment>
    <comment ref="AC17" authorId="0" shapeId="0">
      <text>
        <r>
          <rPr>
            <sz val="10"/>
            <color theme="1"/>
            <rFont val="Arial"/>
            <family val="2"/>
          </rPr>
          <t>including:
• +20 of cost-cutting
• +1 of unabsorbed fixed costs</t>
        </r>
      </text>
    </comment>
    <comment ref="AD17" authorId="0" shapeId="0">
      <text>
        <r>
          <rPr>
            <sz val="10"/>
            <color theme="1"/>
            <rFont val="Arial"/>
            <family val="2"/>
          </rPr>
          <t>including:
• +110 of cost-cutting
• -78 of unabsorbed fixed costs</t>
        </r>
      </text>
    </comment>
  </commentList>
</comments>
</file>

<file path=xl/comments5.xml><?xml version="1.0" encoding="utf-8"?>
<comments xmlns="http://schemas.openxmlformats.org/spreadsheetml/2006/main">
  <authors>
    <author>Author</author>
  </authors>
  <commentList>
    <comment ref="I69" authorId="0" shapeId="0">
      <text>
        <r>
          <rPr>
            <sz val="10"/>
            <color indexed="81"/>
            <rFont val="Arial"/>
            <family val="2"/>
          </rPr>
          <t>including the reversal of income on tax credits Brazil</t>
        </r>
      </text>
    </comment>
    <comment ref="A77" authorId="0" shapeId="0">
      <text>
        <r>
          <rPr>
            <sz val="10"/>
            <color theme="1"/>
            <rFont val="Arial"/>
            <family val="2"/>
            <scheme val="minor"/>
          </rPr>
          <t>IAS line "Investments in owned tangible assets" includes both Investmens in tangible assets and change in payable for investments in tangible assets</t>
        </r>
      </text>
    </comment>
    <comment ref="A78" authorId="0" shapeId="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comments6.xml><?xml version="1.0" encoding="utf-8"?>
<comments xmlns="http://schemas.openxmlformats.org/spreadsheetml/2006/main">
  <authors>
    <author>Author</author>
  </authors>
  <commentList>
    <comment ref="P69" authorId="0" shapeId="0">
      <text>
        <r>
          <rPr>
            <sz val="10"/>
            <color indexed="81"/>
            <rFont val="Arial"/>
            <family val="2"/>
          </rPr>
          <t>including the reversal of income on tax credits Brazil</t>
        </r>
      </text>
    </comment>
    <comment ref="Q69" authorId="0" shapeId="0">
      <text>
        <r>
          <rPr>
            <sz val="10"/>
            <color indexed="81"/>
            <rFont val="Arial"/>
            <family val="2"/>
          </rPr>
          <t>including the reversal of income on tax credits Brazil</t>
        </r>
      </text>
    </comment>
    <comment ref="R69" authorId="0" shapeId="0">
      <text>
        <r>
          <rPr>
            <sz val="10"/>
            <color indexed="81"/>
            <rFont val="Arial"/>
            <family val="2"/>
          </rPr>
          <t>including the reversal of income on tax credits Brazil</t>
        </r>
      </text>
    </comment>
    <comment ref="A77" authorId="0" shapeId="0">
      <text>
        <r>
          <rPr>
            <sz val="10"/>
            <color theme="1"/>
            <rFont val="Arial"/>
            <family val="2"/>
            <scheme val="minor"/>
          </rPr>
          <t>IAS line "Investments in owned tangible assets" includes both Investmens in tangible assets and change in payable for investments in tangible assets</t>
        </r>
      </text>
    </comment>
    <comment ref="A78" authorId="0" shapeId="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sharedStrings.xml><?xml version="1.0" encoding="utf-8"?>
<sst xmlns="http://schemas.openxmlformats.org/spreadsheetml/2006/main" count="1375" uniqueCount="370">
  <si>
    <t>Property, plant and equipment</t>
  </si>
  <si>
    <t>Intangible assets</t>
  </si>
  <si>
    <t>Assets held for sale</t>
  </si>
  <si>
    <t>Total Assets</t>
  </si>
  <si>
    <t>Total Equity</t>
  </si>
  <si>
    <t>Non-current liabilities</t>
  </si>
  <si>
    <t>Current liabilities</t>
  </si>
  <si>
    <t>Liabilities related to assets held for sale</t>
  </si>
  <si>
    <t>Total Liabilities and Equity</t>
  </si>
  <si>
    <t>I. Cash and cash equivalents at the end of the period (E+F+G+H)</t>
  </si>
  <si>
    <t>H. Venezuela deconsolidation</t>
  </si>
  <si>
    <t>G. Exchange differences from translation of cash and cash equivalents</t>
  </si>
  <si>
    <t>EBIT</t>
  </si>
  <si>
    <t>o/w Standard</t>
  </si>
  <si>
    <t xml:space="preserve">o/w High Value </t>
  </si>
  <si>
    <t>Equity attributable to the Group</t>
  </si>
  <si>
    <t>Equity attributable to non-controlling interests</t>
  </si>
  <si>
    <t>Results from Equity Investments</t>
  </si>
  <si>
    <t>Venezuela deconsolidation</t>
  </si>
  <si>
    <t>Taxes</t>
  </si>
  <si>
    <t>Net income (loss)</t>
  </si>
  <si>
    <t>Pirelli de Venezuela C.A. impact</t>
  </si>
  <si>
    <t>Steelcord impact</t>
  </si>
  <si>
    <t>Research &amp; Development costs</t>
  </si>
  <si>
    <t>FY 2014</t>
  </si>
  <si>
    <t>FY 2015</t>
  </si>
  <si>
    <t>FY 2016</t>
  </si>
  <si>
    <t>Volumes</t>
  </si>
  <si>
    <t>Price/Mix</t>
  </si>
  <si>
    <t>Total</t>
  </si>
  <si>
    <t>Amortization of PPA</t>
  </si>
  <si>
    <t>o/w Minorities</t>
  </si>
  <si>
    <t>Start-up costs</t>
  </si>
  <si>
    <t>Net income (Loss) from discontinued operations</t>
  </si>
  <si>
    <t>Adjusted Taxes</t>
  </si>
  <si>
    <t>Investments</t>
  </si>
  <si>
    <t>Europe</t>
  </si>
  <si>
    <t>NAFTA</t>
  </si>
  <si>
    <t>LatAm</t>
  </si>
  <si>
    <t>APac</t>
  </si>
  <si>
    <t>Russia &amp; CIS</t>
  </si>
  <si>
    <t>MEAI</t>
  </si>
  <si>
    <t>Adjusted Revenues drivers vs. previous year</t>
  </si>
  <si>
    <t>Raw materials</t>
  </si>
  <si>
    <t>Efficiencies</t>
  </si>
  <si>
    <t>Other input costs</t>
  </si>
  <si>
    <t>Exchange rate</t>
  </si>
  <si>
    <t>D&amp;A / Other</t>
  </si>
  <si>
    <t>Adjusted EBIT bridge drivers</t>
  </si>
  <si>
    <t>Financial Investments</t>
  </si>
  <si>
    <t>Net operating working capital</t>
  </si>
  <si>
    <t>Inventories</t>
  </si>
  <si>
    <t>Trade receivables</t>
  </si>
  <si>
    <t>Trade payables</t>
  </si>
  <si>
    <t>Other payables / receivable</t>
  </si>
  <si>
    <t>Net Working Capital</t>
  </si>
  <si>
    <t>Net invested capital</t>
  </si>
  <si>
    <t>Net equity</t>
  </si>
  <si>
    <t>Provisions</t>
  </si>
  <si>
    <t>Net Financial Position</t>
  </si>
  <si>
    <t>Source of financing</t>
  </si>
  <si>
    <t>Reclassified balance items</t>
  </si>
  <si>
    <t>o/w Goodwill</t>
  </si>
  <si>
    <t>Investments in associates and J.V.</t>
  </si>
  <si>
    <t>Other financial assets</t>
  </si>
  <si>
    <t>Deferred tax assets</t>
  </si>
  <si>
    <t>Other receivables</t>
  </si>
  <si>
    <t>Tax receivables</t>
  </si>
  <si>
    <t>Non-current assets</t>
  </si>
  <si>
    <t>Securities held for trading</t>
  </si>
  <si>
    <t>Cash and cash equivalents</t>
  </si>
  <si>
    <t>Derivative financial instruments</t>
  </si>
  <si>
    <t>Current assets</t>
  </si>
  <si>
    <t>Share capital</t>
  </si>
  <si>
    <t>Reserves</t>
  </si>
  <si>
    <t>IAS balance items: Assets</t>
  </si>
  <si>
    <t>IAS balance items: Liabilities and Equity</t>
  </si>
  <si>
    <t>Borrowings from banks and other financial institutions</t>
  </si>
  <si>
    <t>Other payables</t>
  </si>
  <si>
    <t>Provisions for liabilities and charges</t>
  </si>
  <si>
    <t>Tax payables</t>
  </si>
  <si>
    <t>Total Liabilities</t>
  </si>
  <si>
    <t>Europe (% on total)</t>
  </si>
  <si>
    <t>NAFTA (% on total)</t>
  </si>
  <si>
    <t>LatAm (% on total)</t>
  </si>
  <si>
    <t>Russia &amp; CIS (% on total)</t>
  </si>
  <si>
    <t>MEAI (% on total)</t>
  </si>
  <si>
    <t>Reversal of Net income (Loss) from discontinued operations</t>
  </si>
  <si>
    <t>Reversal of Taxes</t>
  </si>
  <si>
    <t>Reversals of amortization, depreciation, impairment losses and restatement of property, plant and equipment and intangible assets</t>
  </si>
  <si>
    <t>Reversal of financial expenses</t>
  </si>
  <si>
    <t>Reversal of financial income</t>
  </si>
  <si>
    <t>Reversal of Venezuela deconsolidation</t>
  </si>
  <si>
    <t>Reversal of dividends</t>
  </si>
  <si>
    <t>Reversal of gains / (losses) on equity investments</t>
  </si>
  <si>
    <t>Reversal of share of net income from associates and joint ventures</t>
  </si>
  <si>
    <t>Net income (loss) before taxes</t>
  </si>
  <si>
    <t>Change in inventories</t>
  </si>
  <si>
    <t>Change in trade receivables</t>
  </si>
  <si>
    <t>Change in trade payables</t>
  </si>
  <si>
    <t>Change in other receivables / other payables</t>
  </si>
  <si>
    <t>Investments in intangible assets</t>
  </si>
  <si>
    <t>Steelcord disposal</t>
  </si>
  <si>
    <t>Disposals (Acquisition) of investments in subsidiaries, associates and JVs</t>
  </si>
  <si>
    <t>Sale of 38% of Pirelli Industrial to Cinda fund</t>
  </si>
  <si>
    <t>Sale of 10% of Pirelli Industrial</t>
  </si>
  <si>
    <t>Acquisition of 80% of Jiaozuo Aeolus Tyre Co. Ltd (net of acquired liquidity)</t>
  </si>
  <si>
    <t>Increase (reduction) in equity</t>
  </si>
  <si>
    <t>Cash flow from separation of Industrial Business</t>
  </si>
  <si>
    <t>Change in financial payables</t>
  </si>
  <si>
    <t>Dividends paid</t>
  </si>
  <si>
    <t>Net cash flows provided by (used in) operating activities before changes in working capital</t>
  </si>
  <si>
    <t>A. Net cash flows provided by (used in) operating activities</t>
  </si>
  <si>
    <t>B. Net cash flows provided by (used in) investing activities</t>
  </si>
  <si>
    <t>Financial income (expenses)</t>
  </si>
  <si>
    <t>C. Net cash flows provided by (used in) financing activities</t>
  </si>
  <si>
    <t>D. Total financial cash flow provided by (used in) discontinued operations</t>
  </si>
  <si>
    <t>E. Total cash flows provided (used) during the period (A+B+C+D)</t>
  </si>
  <si>
    <t>Net Financial Income (Charges)</t>
  </si>
  <si>
    <t>o/w dedicated to High Value products and services</t>
  </si>
  <si>
    <t>Key Balance Sheet metrics</t>
  </si>
  <si>
    <t>9M 2016</t>
  </si>
  <si>
    <t>9M 2017</t>
  </si>
  <si>
    <t>Interests</t>
  </si>
  <si>
    <t>Other</t>
  </si>
  <si>
    <t>Sale of Steelcord</t>
  </si>
  <si>
    <t>Dividends</t>
  </si>
  <si>
    <t>Sale of 38% of P.I. to Cinda</t>
  </si>
  <si>
    <t>Debt push down from merger</t>
  </si>
  <si>
    <t>Industrial reorganization</t>
  </si>
  <si>
    <t>Capital increase</t>
  </si>
  <si>
    <t>Derivatives included in Net Financial Position</t>
  </si>
  <si>
    <t>Derivatives not included in Net Financial Position</t>
  </si>
  <si>
    <t>Other receivables included in Net Financial Position</t>
  </si>
  <si>
    <t>Other receivables not included in Net Financial Position</t>
  </si>
  <si>
    <t>Net invested capital related to assets held for sale</t>
  </si>
  <si>
    <t>Provisions related to assets held for sale</t>
  </si>
  <si>
    <t>Net Financial Position related to assets held for sale</t>
  </si>
  <si>
    <t>Net Financial Position related to continuing operations</t>
  </si>
  <si>
    <t>Provisions related to continuing operations</t>
  </si>
  <si>
    <t>Net invested capital related to continuing operations</t>
  </si>
  <si>
    <t>NFP at the beginning of the period (reported)</t>
  </si>
  <si>
    <t>Reversal of other items from Pirelli Industrial</t>
  </si>
  <si>
    <t>Reversal of Pirelli Industrial dividends</t>
  </si>
  <si>
    <t>Balance Sheet - Full Year</t>
  </si>
  <si>
    <t>Cash Flow - Full Year</t>
  </si>
  <si>
    <t>Reversal of carve-out of Pirelli Industrial</t>
  </si>
  <si>
    <t>Net income (Loss) from continuing operations</t>
  </si>
  <si>
    <t>IAS Cash Flow view</t>
  </si>
  <si>
    <t>Selected Financial Measures</t>
  </si>
  <si>
    <t>Reclassified Cash Flow view</t>
  </si>
  <si>
    <t>Financial Highlights</t>
  </si>
  <si>
    <t>Adjusted revenues details</t>
  </si>
  <si>
    <t>Adjusted EBIT bridge</t>
  </si>
  <si>
    <t>Balance sheet</t>
  </si>
  <si>
    <t>Cash flow</t>
  </si>
  <si>
    <t>Legenda</t>
  </si>
  <si>
    <t>Blue: Input</t>
  </si>
  <si>
    <t>Black: Formula</t>
  </si>
  <si>
    <t>Green: Link</t>
  </si>
  <si>
    <t>Operating Cash Flow</t>
  </si>
  <si>
    <t>Net Cash Flow before extraordinary operations</t>
  </si>
  <si>
    <t>FY 2017</t>
  </si>
  <si>
    <t>1H 2016</t>
  </si>
  <si>
    <t>1Q 2016</t>
  </si>
  <si>
    <t>3Q 2017</t>
  </si>
  <si>
    <t>1H 2017</t>
  </si>
  <si>
    <t>2Q 2017</t>
  </si>
  <si>
    <t>1Q 2017</t>
  </si>
  <si>
    <t>4Q 2017</t>
  </si>
  <si>
    <t>4Q 2016</t>
  </si>
  <si>
    <t>2Q 2016</t>
  </si>
  <si>
    <t>3Q 2016</t>
  </si>
  <si>
    <t>APac (% on total)</t>
  </si>
  <si>
    <t>Tax rate</t>
  </si>
  <si>
    <t>n.m.</t>
  </si>
  <si>
    <t>o/w High Value</t>
  </si>
  <si>
    <t>reported</t>
  </si>
  <si>
    <t>carve-out</t>
  </si>
  <si>
    <t>Δ Working Capital / Other</t>
  </si>
  <si>
    <t>Bidco NFP variation from da 1-Jan-16 to 31-May-16</t>
  </si>
  <si>
    <t>Bidco Facility costs after merger</t>
  </si>
  <si>
    <t>Other refinancing adjustments</t>
  </si>
  <si>
    <t>Cash-in from Cinda of 38% Pirelli Industrial stake</t>
  </si>
  <si>
    <t>NFP impact from Aeolus Car</t>
  </si>
  <si>
    <t>Sale of 10% Pirelli Industrial Holding / acqusition of 80% Aeolus Car</t>
  </si>
  <si>
    <t>% of High Value EBIT</t>
  </si>
  <si>
    <t>Net income (loss) from continuing operations</t>
  </si>
  <si>
    <t>Net income (loss) from discontinued operations</t>
  </si>
  <si>
    <t>Revenues</t>
  </si>
  <si>
    <t>Disclaimer</t>
  </si>
  <si>
    <t>restated</t>
  </si>
  <si>
    <t>€ million</t>
  </si>
  <si>
    <t>Financial Highlights - Full Year figures</t>
  </si>
  <si>
    <t>Adjusted EBIT bridge - Full Year figures</t>
  </si>
  <si>
    <t>Financial Highlights - Interim figures</t>
  </si>
  <si>
    <t>Adjusted EBIT bridge - Interim figures</t>
  </si>
  <si>
    <t>Balance Sheet - Interim figures</t>
  </si>
  <si>
    <t>Cash Flow - Interim figures</t>
  </si>
  <si>
    <t>Net Financial Position at the beginning of the period</t>
  </si>
  <si>
    <r>
      <rPr>
        <b/>
        <sz val="10"/>
        <color theme="1"/>
        <rFont val="Arial"/>
        <family val="2"/>
      </rPr>
      <t>2014-2016 carve-out figures</t>
    </r>
    <r>
      <rPr>
        <sz val="10"/>
        <color theme="1"/>
        <rFont val="Arial"/>
        <family val="2"/>
      </rPr>
      <t>: prepared for the IPO, in order to represent the new Company perimeter after the assignation of Industrial activities to Marco Polo International Italy S.p.A. (“Marco Polo”) in March 2017.</t>
    </r>
  </si>
  <si>
    <r>
      <t>Current Ratio (</t>
    </r>
    <r>
      <rPr>
        <sz val="10"/>
        <color rgb="FFE22526"/>
        <rFont val="Arial"/>
        <family val="2"/>
      </rPr>
      <t>1</t>
    </r>
    <r>
      <rPr>
        <sz val="10"/>
        <color theme="1"/>
        <rFont val="Arial"/>
        <family val="2"/>
      </rPr>
      <t>)</t>
    </r>
  </si>
  <si>
    <r>
      <t>Quick Ratio (</t>
    </r>
    <r>
      <rPr>
        <sz val="10"/>
        <color rgb="FFE22526"/>
        <rFont val="Arial"/>
        <family val="2"/>
      </rPr>
      <t>2</t>
    </r>
    <r>
      <rPr>
        <sz val="10"/>
        <color theme="1"/>
        <rFont val="Arial"/>
        <family val="2"/>
      </rPr>
      <t>)</t>
    </r>
  </si>
  <si>
    <r>
      <rPr>
        <sz val="8"/>
        <color rgb="FFE22526"/>
        <rFont val="Arial"/>
        <family val="2"/>
      </rPr>
      <t>1</t>
    </r>
    <r>
      <rPr>
        <sz val="8"/>
        <color theme="1"/>
        <rFont val="Arial"/>
        <family val="2"/>
      </rPr>
      <t>. obtained as: Current Assets / Current Liabilities</t>
    </r>
  </si>
  <si>
    <r>
      <rPr>
        <sz val="8"/>
        <color rgb="FFE22526"/>
        <rFont val="Arial"/>
        <family val="2"/>
      </rPr>
      <t>2</t>
    </r>
    <r>
      <rPr>
        <sz val="8"/>
        <color theme="1"/>
        <rFont val="Arial"/>
        <family val="2"/>
      </rPr>
      <t>. obtained as: (Current Assets - Inventories) / Current Liabilities</t>
    </r>
  </si>
  <si>
    <r>
      <rPr>
        <sz val="8"/>
        <color rgb="FFE22526"/>
        <rFont val="Arial"/>
        <family val="2"/>
      </rPr>
      <t>1</t>
    </r>
    <r>
      <rPr>
        <sz val="8"/>
        <color theme="1"/>
        <rFont val="Arial"/>
        <family val="2"/>
      </rPr>
      <t>. Adjusted EBITDA: calculated by adjusting EBITDA for non-recurring and restructuring expenses, the contribution to the consolidated financial statements made by Pirelli Venezuela C.A. and the contribution to the consolidated financial statements made by the Steelcord activities.</t>
    </r>
  </si>
  <si>
    <r>
      <t>Adjusted EBIT (</t>
    </r>
    <r>
      <rPr>
        <sz val="10"/>
        <color rgb="FFE22526"/>
        <rFont val="Arial"/>
        <family val="2"/>
      </rPr>
      <t>2</t>
    </r>
    <r>
      <rPr>
        <sz val="10"/>
        <color theme="1"/>
        <rFont val="Arial"/>
        <family val="2"/>
      </rPr>
      <t>) margin</t>
    </r>
  </si>
  <si>
    <r>
      <t>Adjusted EBIT (</t>
    </r>
    <r>
      <rPr>
        <b/>
        <sz val="10"/>
        <color rgb="FFE22526"/>
        <rFont val="Arial"/>
        <family val="2"/>
      </rPr>
      <t>2</t>
    </r>
    <r>
      <rPr>
        <b/>
        <sz val="10"/>
        <color theme="1"/>
        <rFont val="Arial"/>
        <family val="2"/>
      </rPr>
      <t>)</t>
    </r>
  </si>
  <si>
    <r>
      <t>Adjusted EBITDA (</t>
    </r>
    <r>
      <rPr>
        <b/>
        <sz val="10"/>
        <color rgb="FFE22526"/>
        <rFont val="Arial"/>
        <family val="2"/>
      </rPr>
      <t>1</t>
    </r>
    <r>
      <rPr>
        <b/>
        <sz val="10"/>
        <color theme="1"/>
        <rFont val="Arial"/>
        <family val="2"/>
      </rPr>
      <t>)</t>
    </r>
  </si>
  <si>
    <r>
      <t>Adjusted EBITDA (</t>
    </r>
    <r>
      <rPr>
        <sz val="10"/>
        <color rgb="FFE22526"/>
        <rFont val="Arial"/>
        <family val="2"/>
      </rPr>
      <t>1</t>
    </r>
    <r>
      <rPr>
        <sz val="10"/>
        <color theme="1"/>
        <rFont val="Arial"/>
        <family val="2"/>
      </rPr>
      <t>) margin</t>
    </r>
  </si>
  <si>
    <r>
      <t>Adjusted Revenues (</t>
    </r>
    <r>
      <rPr>
        <b/>
        <sz val="10"/>
        <color rgb="FFE22526"/>
        <rFont val="Arial"/>
        <family val="2"/>
      </rPr>
      <t>1</t>
    </r>
    <r>
      <rPr>
        <b/>
        <sz val="10"/>
        <color theme="1"/>
        <rFont val="Arial"/>
        <family val="2"/>
      </rPr>
      <t>)</t>
    </r>
  </si>
  <si>
    <r>
      <t>Adjusted EBITDA (</t>
    </r>
    <r>
      <rPr>
        <b/>
        <sz val="10"/>
        <color rgb="FFE22526"/>
        <rFont val="Arial"/>
        <family val="2"/>
      </rPr>
      <t>2</t>
    </r>
    <r>
      <rPr>
        <b/>
        <sz val="10"/>
        <color theme="1"/>
        <rFont val="Arial"/>
        <family val="2"/>
      </rPr>
      <t>) without start-up costs (</t>
    </r>
    <r>
      <rPr>
        <b/>
        <sz val="10"/>
        <color rgb="FFE22526"/>
        <rFont val="Arial"/>
        <family val="2"/>
      </rPr>
      <t>6</t>
    </r>
    <r>
      <rPr>
        <b/>
        <sz val="10"/>
        <color theme="1"/>
        <rFont val="Arial"/>
        <family val="2"/>
      </rPr>
      <t>)</t>
    </r>
  </si>
  <si>
    <r>
      <t>Adjusted EBITDA (</t>
    </r>
    <r>
      <rPr>
        <sz val="10"/>
        <color rgb="FFE22526"/>
        <rFont val="Arial"/>
        <family val="2"/>
      </rPr>
      <t>2</t>
    </r>
    <r>
      <rPr>
        <sz val="10"/>
        <color theme="1"/>
        <rFont val="Arial"/>
        <family val="2"/>
      </rPr>
      <t>) without start-up costs (</t>
    </r>
    <r>
      <rPr>
        <sz val="10"/>
        <color rgb="FFE22526"/>
        <rFont val="Arial"/>
        <family val="2"/>
      </rPr>
      <t>6</t>
    </r>
    <r>
      <rPr>
        <sz val="10"/>
        <color theme="1"/>
        <rFont val="Arial"/>
        <family val="2"/>
      </rPr>
      <t>) margin</t>
    </r>
  </si>
  <si>
    <r>
      <t>Adjusted EBITDA (</t>
    </r>
    <r>
      <rPr>
        <b/>
        <sz val="10"/>
        <color rgb="FFE22526"/>
        <rFont val="Arial"/>
        <family val="2"/>
      </rPr>
      <t>2</t>
    </r>
    <r>
      <rPr>
        <b/>
        <sz val="10"/>
        <color theme="1"/>
        <rFont val="Arial"/>
        <family val="2"/>
      </rPr>
      <t>)</t>
    </r>
  </si>
  <si>
    <r>
      <t>Adjusted EBITDA (</t>
    </r>
    <r>
      <rPr>
        <sz val="10"/>
        <color rgb="FFE22526"/>
        <rFont val="Arial"/>
        <family val="2"/>
      </rPr>
      <t>2</t>
    </r>
    <r>
      <rPr>
        <sz val="10"/>
        <color theme="1"/>
        <rFont val="Arial"/>
        <family val="2"/>
      </rPr>
      <t>) margin</t>
    </r>
  </si>
  <si>
    <r>
      <t>Adjusted EBIT (</t>
    </r>
    <r>
      <rPr>
        <b/>
        <sz val="10"/>
        <color rgb="FFE22526"/>
        <rFont val="Arial"/>
        <family val="2"/>
      </rPr>
      <t>3</t>
    </r>
    <r>
      <rPr>
        <b/>
        <sz val="10"/>
        <color theme="1"/>
        <rFont val="Arial"/>
        <family val="2"/>
      </rPr>
      <t>) without start-up costs (</t>
    </r>
    <r>
      <rPr>
        <b/>
        <sz val="10"/>
        <color rgb="FFE22526"/>
        <rFont val="Arial"/>
        <family val="2"/>
      </rPr>
      <t>6</t>
    </r>
    <r>
      <rPr>
        <b/>
        <sz val="10"/>
        <color theme="1"/>
        <rFont val="Arial"/>
        <family val="2"/>
      </rPr>
      <t>)</t>
    </r>
  </si>
  <si>
    <r>
      <t>Adjusted EBIT (</t>
    </r>
    <r>
      <rPr>
        <sz val="10"/>
        <color rgb="FFE22526"/>
        <rFont val="Arial"/>
        <family val="2"/>
      </rPr>
      <t>3</t>
    </r>
    <r>
      <rPr>
        <sz val="10"/>
        <color theme="1"/>
        <rFont val="Arial"/>
        <family val="2"/>
      </rPr>
      <t>) margin without start-up costs (</t>
    </r>
    <r>
      <rPr>
        <sz val="10"/>
        <color rgb="FFE22526"/>
        <rFont val="Arial"/>
        <family val="2"/>
      </rPr>
      <t>6</t>
    </r>
    <r>
      <rPr>
        <sz val="10"/>
        <color theme="1"/>
        <rFont val="Arial"/>
        <family val="2"/>
      </rPr>
      <t>)</t>
    </r>
  </si>
  <si>
    <r>
      <t>Adjusted EBIT (</t>
    </r>
    <r>
      <rPr>
        <b/>
        <sz val="10"/>
        <color rgb="FFE22526"/>
        <rFont val="Arial"/>
        <family val="2"/>
      </rPr>
      <t>3</t>
    </r>
    <r>
      <rPr>
        <b/>
        <sz val="10"/>
        <color theme="1"/>
        <rFont val="Arial"/>
        <family val="2"/>
      </rPr>
      <t>)</t>
    </r>
  </si>
  <si>
    <r>
      <t>Adjusted EBIT (</t>
    </r>
    <r>
      <rPr>
        <sz val="10"/>
        <color rgb="FFE22526"/>
        <rFont val="Arial"/>
        <family val="2"/>
      </rPr>
      <t>3</t>
    </r>
    <r>
      <rPr>
        <sz val="10"/>
        <color theme="1"/>
        <rFont val="Arial"/>
        <family val="2"/>
      </rPr>
      <t>) margin</t>
    </r>
  </si>
  <si>
    <r>
      <t>Net Income Adjusted (</t>
    </r>
    <r>
      <rPr>
        <b/>
        <sz val="10"/>
        <color rgb="FFE22526"/>
        <rFont val="Arial"/>
        <family val="2"/>
      </rPr>
      <t>4</t>
    </r>
    <r>
      <rPr>
        <b/>
        <sz val="10"/>
        <color theme="1"/>
        <rFont val="Arial"/>
        <family val="2"/>
      </rPr>
      <t>)</t>
    </r>
  </si>
  <si>
    <r>
      <t>Net Income Adjusted (</t>
    </r>
    <r>
      <rPr>
        <sz val="10"/>
        <color rgb="FFE22526"/>
        <rFont val="Arial"/>
        <family val="2"/>
      </rPr>
      <t>4</t>
    </r>
    <r>
      <rPr>
        <sz val="10"/>
        <color theme="1"/>
        <rFont val="Arial"/>
        <family val="2"/>
      </rPr>
      <t>) margin</t>
    </r>
  </si>
  <si>
    <r>
      <t>Cash conversion ratio (</t>
    </r>
    <r>
      <rPr>
        <sz val="10"/>
        <color rgb="FFE22526"/>
        <rFont val="Arial"/>
        <family val="2"/>
      </rPr>
      <t>5</t>
    </r>
    <r>
      <rPr>
        <sz val="10"/>
        <color theme="1"/>
        <rFont val="Arial"/>
        <family val="2"/>
      </rPr>
      <t>)</t>
    </r>
  </si>
  <si>
    <r>
      <t>R&amp;D costs / Adjusted Revenues (</t>
    </r>
    <r>
      <rPr>
        <sz val="10"/>
        <color rgb="FFE22526"/>
        <rFont val="Arial"/>
        <family val="2"/>
      </rPr>
      <t>1</t>
    </r>
    <r>
      <rPr>
        <sz val="10"/>
        <color theme="1"/>
        <rFont val="Arial"/>
        <family val="2"/>
      </rPr>
      <t>)</t>
    </r>
  </si>
  <si>
    <r>
      <t>High Value R&amp;D costs / High Value Revenues (</t>
    </r>
    <r>
      <rPr>
        <sz val="10"/>
        <color rgb="FFE22526"/>
        <rFont val="Arial"/>
        <family val="2"/>
      </rPr>
      <t>1</t>
    </r>
    <r>
      <rPr>
        <sz val="10"/>
        <color theme="1"/>
        <rFont val="Arial"/>
        <family val="2"/>
      </rPr>
      <t>)</t>
    </r>
  </si>
  <si>
    <r>
      <rPr>
        <sz val="8"/>
        <color rgb="FFE22526"/>
        <rFont val="Arial"/>
        <family val="2"/>
      </rPr>
      <t>1</t>
    </r>
    <r>
      <rPr>
        <sz val="8"/>
        <color theme="1"/>
        <rFont val="Arial"/>
        <family val="2"/>
      </rPr>
      <t>. Adjusted Revenues: calculated by subtracting the contribution to the consolidated financial statements made by Pirelli Venezuela C.A. (to account for the deconsolidation of such company) from Revenues from sales and services.</t>
    </r>
  </si>
  <si>
    <r>
      <rPr>
        <sz val="8"/>
        <color rgb="FFE22526"/>
        <rFont val="Arial"/>
        <family val="2"/>
      </rPr>
      <t>4</t>
    </r>
    <r>
      <rPr>
        <sz val="8"/>
        <color theme="1"/>
        <rFont val="Arial"/>
        <family val="2"/>
      </rPr>
      <t>. Net Income Adjusted: calculated by adjusting Total net income (loss) for EBIT adjustments, the Venezuela deconsolidation, Net financial expenses and Tax.</t>
    </r>
  </si>
  <si>
    <r>
      <rPr>
        <sz val="8"/>
        <color rgb="FFE22526"/>
        <rFont val="Arial"/>
        <family val="2"/>
      </rPr>
      <t>5</t>
    </r>
    <r>
      <rPr>
        <sz val="8"/>
        <color theme="1"/>
        <rFont val="Arial"/>
        <family val="2"/>
      </rPr>
      <t>. Cash conversion ratio: calculated by dividing (Adjusted EBITDA - CapEx) by Adjusted EBITDA.</t>
    </r>
  </si>
  <si>
    <r>
      <rPr>
        <sz val="8"/>
        <color rgb="FFE22526"/>
        <rFont val="Arial"/>
        <family val="2"/>
      </rPr>
      <t>6</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2016, from the production of Aeolus-brand products to Pirelli-brand products.</t>
    </r>
  </si>
  <si>
    <t>Full year figures</t>
  </si>
  <si>
    <t>Interim figures</t>
  </si>
  <si>
    <t>n.a.</t>
  </si>
  <si>
    <r>
      <t>Adjusted EBIT (</t>
    </r>
    <r>
      <rPr>
        <b/>
        <sz val="10"/>
        <color rgb="FFE22526"/>
        <rFont val="Arial"/>
        <family val="2"/>
      </rPr>
      <t>2</t>
    </r>
    <r>
      <rPr>
        <b/>
        <sz val="10"/>
        <color theme="1"/>
        <rFont val="Arial"/>
        <family val="2"/>
      </rPr>
      <t>) without start-up costs (</t>
    </r>
    <r>
      <rPr>
        <b/>
        <sz val="10"/>
        <color rgb="FFE22526"/>
        <rFont val="Arial"/>
        <family val="2"/>
      </rPr>
      <t>3</t>
    </r>
    <r>
      <rPr>
        <b/>
        <sz val="10"/>
        <color theme="1"/>
        <rFont val="Arial"/>
        <family val="2"/>
      </rPr>
      <t>)</t>
    </r>
  </si>
  <si>
    <r>
      <t>Adjusted EBIT (</t>
    </r>
    <r>
      <rPr>
        <sz val="10"/>
        <color rgb="FFE22526"/>
        <rFont val="Arial"/>
        <family val="2"/>
      </rPr>
      <t>2</t>
    </r>
    <r>
      <rPr>
        <sz val="10"/>
        <color theme="1"/>
        <rFont val="Arial"/>
        <family val="2"/>
      </rPr>
      <t>) without start-up costs (</t>
    </r>
    <r>
      <rPr>
        <sz val="10"/>
        <color rgb="FFE22526"/>
        <rFont val="Arial"/>
        <family val="2"/>
      </rPr>
      <t>3</t>
    </r>
    <r>
      <rPr>
        <sz val="10"/>
        <color theme="1"/>
        <rFont val="Arial"/>
        <family val="2"/>
      </rPr>
      <t>) margin</t>
    </r>
  </si>
  <si>
    <r>
      <t>Adjusted EBITDA (</t>
    </r>
    <r>
      <rPr>
        <sz val="10"/>
        <color rgb="FFE22526"/>
        <rFont val="Arial"/>
        <family val="2"/>
      </rPr>
      <t>1</t>
    </r>
    <r>
      <rPr>
        <sz val="10"/>
        <color theme="1"/>
        <rFont val="Arial"/>
        <family val="2"/>
      </rPr>
      <t>)</t>
    </r>
  </si>
  <si>
    <t>EBIT adjustments</t>
  </si>
  <si>
    <t>Net financial expenses</t>
  </si>
  <si>
    <t>1Q 2018</t>
  </si>
  <si>
    <t>Dividends received (including dividends from associates and J.V.)</t>
  </si>
  <si>
    <t>Contract liabilities</t>
  </si>
  <si>
    <t>EBIT adjusted at the end of the period</t>
  </si>
  <si>
    <t>EBIT adjusted at the beginning of the period</t>
  </si>
  <si>
    <r>
      <t>Perimeter / Other (</t>
    </r>
    <r>
      <rPr>
        <sz val="8"/>
        <color rgb="FFE22526"/>
        <rFont val="Arial"/>
        <family val="2"/>
      </rPr>
      <t>1</t>
    </r>
    <r>
      <rPr>
        <sz val="10"/>
        <color theme="1"/>
        <rFont val="Arial"/>
        <family val="2"/>
      </rPr>
      <t>)</t>
    </r>
  </si>
  <si>
    <t>Other financial assets at fair value through income statement</t>
  </si>
  <si>
    <r>
      <rPr>
        <sz val="8"/>
        <color rgb="FFE22526"/>
        <rFont val="Arial"/>
        <family val="2"/>
      </rPr>
      <t>2</t>
    </r>
    <r>
      <rPr>
        <sz val="8"/>
        <color theme="1"/>
        <rFont val="Arial"/>
        <family val="2"/>
      </rPr>
      <t xml:space="preserve">. Adjusted EBIT: calculating by adjusting Operating profit (EBIT) for amortization of intangible assets included in PPA, non-recurring, restructuring expenses and other adjustments. </t>
    </r>
  </si>
  <si>
    <r>
      <rPr>
        <sz val="8"/>
        <color rgb="FFE22526"/>
        <rFont val="Arial"/>
        <family val="2"/>
      </rPr>
      <t>1</t>
    </r>
    <r>
      <rPr>
        <sz val="8"/>
        <color theme="1"/>
        <rFont val="Arial"/>
        <family val="2"/>
      </rPr>
      <t xml:space="preserve">. Adjusted EBITDA: calculated by adjusting EBITDA for non-recurring, restructuring expenses and other adjustments. </t>
    </r>
  </si>
  <si>
    <r>
      <rPr>
        <sz val="8"/>
        <color rgb="FFE22526"/>
        <rFont val="Arial"/>
        <family val="2"/>
      </rPr>
      <t>1</t>
    </r>
    <r>
      <rPr>
        <sz val="8"/>
        <color theme="1"/>
        <rFont val="Arial"/>
        <family val="2"/>
      </rPr>
      <t>. Adjusted EBITDA: calculated by adjusting EBITDA for non-recurring, restructuring expenses, other adjustments, the contribution to the consolidated financial statements made by Pirelli Venezuela C.A. and the contribution to the consolidated financial statements made by the Steelcord activities.</t>
    </r>
  </si>
  <si>
    <r>
      <rPr>
        <sz val="6.4"/>
        <color rgb="FFFF0000"/>
        <rFont val="Arial"/>
        <family val="2"/>
      </rPr>
      <t>2.</t>
    </r>
    <r>
      <rPr>
        <sz val="8"/>
        <color theme="1"/>
        <rFont val="Arial"/>
        <family val="2"/>
      </rPr>
      <t xml:space="preserve"> Adjusted EBITDA: calculated by adjusting EBITDA for non-recurring, restructuring expenses, other adjustments, the contribution to the consolidated financial statements made by Pirelli Venezuela C.A. and the contribution to the consolidated financial statements made by the Steelcord activities.</t>
    </r>
  </si>
  <si>
    <r>
      <rPr>
        <sz val="8"/>
        <color rgb="FFE22526"/>
        <rFont val="Arial"/>
        <family val="2"/>
      </rPr>
      <t>3</t>
    </r>
    <r>
      <rPr>
        <sz val="8"/>
        <color theme="1"/>
        <rFont val="Arial"/>
        <family val="2"/>
      </rPr>
      <t>. Adjusted EBIT: calculating by adjusting Operating profit (EBIT) for amortization of intangible assets included in PPA, non-recurring, restructuring expenses, other adjustments, the contribution to the consolidated financial statements made by Pirelli Venezuela C.A. and the contribution to the consolidated financial statements made by the Steelcord activities.</t>
    </r>
  </si>
  <si>
    <r>
      <rPr>
        <sz val="8"/>
        <color rgb="FFE22526"/>
        <rFont val="Arial"/>
        <family val="2"/>
      </rPr>
      <t>3</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2016, from the production of Aeolus-brand products to Pirelli-brand products.</t>
    </r>
  </si>
  <si>
    <t>2Q 2018</t>
  </si>
  <si>
    <r>
      <t>Adjusted EBITDA (</t>
    </r>
    <r>
      <rPr>
        <b/>
        <sz val="10"/>
        <color rgb="FFE22526"/>
        <rFont val="Arial"/>
        <family val="2"/>
      </rPr>
      <t>1</t>
    </r>
    <r>
      <rPr>
        <b/>
        <sz val="10"/>
        <color theme="1"/>
        <rFont val="Arial"/>
        <family val="2"/>
      </rPr>
      <t>) without start-up costs (</t>
    </r>
    <r>
      <rPr>
        <b/>
        <sz val="10"/>
        <color rgb="FFE22526"/>
        <rFont val="Arial"/>
        <family val="2"/>
      </rPr>
      <t>3</t>
    </r>
    <r>
      <rPr>
        <b/>
        <sz val="10"/>
        <color theme="1"/>
        <rFont val="Arial"/>
        <family val="2"/>
      </rPr>
      <t>)</t>
    </r>
  </si>
  <si>
    <r>
      <t>Adjusted EBITDA (</t>
    </r>
    <r>
      <rPr>
        <sz val="10"/>
        <color rgb="FFE22526"/>
        <rFont val="Arial"/>
        <family val="2"/>
      </rPr>
      <t>1</t>
    </r>
    <r>
      <rPr>
        <sz val="10"/>
        <color theme="1"/>
        <rFont val="Arial"/>
        <family val="2"/>
      </rPr>
      <t>) without start-up costs (</t>
    </r>
    <r>
      <rPr>
        <sz val="10"/>
        <color rgb="FFE22526"/>
        <rFont val="Arial"/>
        <family val="2"/>
      </rPr>
      <t>3</t>
    </r>
    <r>
      <rPr>
        <sz val="10"/>
        <color theme="1"/>
        <rFont val="Arial"/>
        <family val="2"/>
      </rPr>
      <t>) margin</t>
    </r>
  </si>
  <si>
    <t>1H 2018</t>
  </si>
  <si>
    <r>
      <rPr>
        <sz val="8"/>
        <color rgb="FFE22526"/>
        <rFont val="Arial"/>
        <family val="2"/>
      </rPr>
      <t>4</t>
    </r>
    <r>
      <rPr>
        <sz val="8"/>
        <color theme="1"/>
        <rFont val="Arial"/>
        <family val="2"/>
      </rPr>
      <t>. obtained as a difference between 1H 2017 carve-out and 1Q 2017 reported; Net Income (Loss) from discontinued operations not applicable</t>
    </r>
  </si>
  <si>
    <r>
      <rPr>
        <sz val="8"/>
        <color rgb="FFE22526"/>
        <rFont val="Arial"/>
        <family val="2"/>
      </rPr>
      <t>5</t>
    </r>
    <r>
      <rPr>
        <sz val="8"/>
        <color theme="1"/>
        <rFont val="Arial"/>
        <family val="2"/>
      </rPr>
      <t>. obtained as a difference between 9M 2017 reported and 1H 2017 carve-out; Net Income (Loss) from discontinued operations not applicable</t>
    </r>
  </si>
  <si>
    <r>
      <t>reported (</t>
    </r>
    <r>
      <rPr>
        <sz val="10"/>
        <color rgb="FFE22526"/>
        <rFont val="Arial"/>
        <family val="2"/>
      </rPr>
      <t>4</t>
    </r>
    <r>
      <rPr>
        <sz val="10"/>
        <color theme="1"/>
        <rFont val="Arial"/>
        <family val="2"/>
      </rPr>
      <t>)</t>
    </r>
  </si>
  <si>
    <r>
      <t>reported (</t>
    </r>
    <r>
      <rPr>
        <sz val="10"/>
        <color rgb="FFE22526"/>
        <rFont val="Arial"/>
        <family val="2"/>
      </rPr>
      <t>5</t>
    </r>
    <r>
      <rPr>
        <sz val="10"/>
        <color theme="1"/>
        <rFont val="Arial"/>
        <family val="2"/>
      </rPr>
      <t>)</t>
    </r>
  </si>
  <si>
    <t>Derivative financial instruments included in the Net Financial Position</t>
  </si>
  <si>
    <t>Derivative financial instruments not included in the Net Financial Position</t>
  </si>
  <si>
    <t>Derivative financial instruments included in Net Financial Position</t>
  </si>
  <si>
    <t>Derivative financial instruments not included in Net Financial Position</t>
  </si>
  <si>
    <t>Depreciation &amp; Ammortization (excl. PPA)</t>
  </si>
  <si>
    <t>Change in Financial receivables / Other current financial assets at fair value through income statement - Assets held for trading</t>
  </si>
  <si>
    <t>9M 2018</t>
  </si>
  <si>
    <t>3Q 2018</t>
  </si>
  <si>
    <t>FY 2018</t>
  </si>
  <si>
    <t>4Q 2018</t>
  </si>
  <si>
    <r>
      <rPr>
        <sz val="8"/>
        <color rgb="FFE22526"/>
        <rFont val="Arial"/>
        <family val="2"/>
      </rPr>
      <t>1</t>
    </r>
    <r>
      <rPr>
        <sz val="8"/>
        <color theme="1"/>
        <rFont val="Arial"/>
        <family val="2"/>
      </rPr>
      <t>. Aeolus Car / Velo up to FY'17; for 1Q-4Q 2018: in accordance with IFRS 15 (starting from January 1st, 2018), costs incurred for sales promotion are required to be treated as variable components of consideration and therefore have the effect of reducing revenues</t>
    </r>
  </si>
  <si>
    <r>
      <t>Perimeter / Other (</t>
    </r>
    <r>
      <rPr>
        <sz val="10"/>
        <color rgb="FFE22526"/>
        <rFont val="Arial"/>
        <family val="2"/>
      </rPr>
      <t>1</t>
    </r>
    <r>
      <rPr>
        <sz val="10"/>
        <color theme="1"/>
        <rFont val="Arial"/>
        <family val="2"/>
      </rPr>
      <t>)</t>
    </r>
  </si>
  <si>
    <t>Acquisition of distribution network in Brazil - Caçula</t>
  </si>
  <si>
    <r>
      <t>F. Cash and cash equivalents at the beginning of the period (</t>
    </r>
    <r>
      <rPr>
        <sz val="10"/>
        <color rgb="FFE22526"/>
        <rFont val="Arial"/>
        <family val="2"/>
      </rPr>
      <t>2</t>
    </r>
    <r>
      <rPr>
        <sz val="10"/>
        <color theme="1"/>
        <rFont val="Arial"/>
        <family val="2"/>
      </rPr>
      <t>)</t>
    </r>
  </si>
  <si>
    <r>
      <rPr>
        <sz val="8"/>
        <color rgb="FFE22526"/>
        <rFont val="Arial"/>
        <family val="2"/>
      </rPr>
      <t>2</t>
    </r>
    <r>
      <rPr>
        <sz val="8"/>
        <color theme="1"/>
        <rFont val="Arial"/>
        <family val="2"/>
      </rPr>
      <t>. The balance of cash and cash equivalents at the beginning of the period of the cash flow for the year ended December 31, 2016 differs from the balance of cash and cash equivalents at the end of the period of the cash flow for the year ended December 31, 2015 as the former reflects the balances actually conferred / split on January 1, 2016.</t>
    </r>
  </si>
  <si>
    <r>
      <t>Adjusted EBITDA (</t>
    </r>
    <r>
      <rPr>
        <b/>
        <sz val="10"/>
        <color rgb="FFE22526"/>
        <rFont val="Arial"/>
        <family val="2"/>
      </rPr>
      <t>2</t>
    </r>
    <r>
      <rPr>
        <b/>
        <sz val="10"/>
        <color theme="1"/>
        <rFont val="Arial"/>
        <family val="2"/>
      </rPr>
      <t xml:space="preserve">) </t>
    </r>
    <r>
      <rPr>
        <b/>
        <sz val="10"/>
        <color theme="1"/>
        <rFont val="Arial"/>
        <family val="2"/>
      </rPr>
      <t>- Investments</t>
    </r>
  </si>
  <si>
    <t>High Value Regions (% on total)</t>
  </si>
  <si>
    <t>Standard Regions (% on total)</t>
  </si>
  <si>
    <t>1Q 2019</t>
  </si>
  <si>
    <t>EMEA</t>
  </si>
  <si>
    <t>North America</t>
  </si>
  <si>
    <t>N. America (% on total)</t>
  </si>
  <si>
    <t>South America</t>
  </si>
  <si>
    <t>S. America (% on total)</t>
  </si>
  <si>
    <t>Russia &amp; Nordics</t>
  </si>
  <si>
    <t>Russia &amp; Nordics (% on total)</t>
  </si>
  <si>
    <t>Cash flow for IFRS 16 leasing debts</t>
  </si>
  <si>
    <t>Net Financial Position at the end of the period (excl. IFRS 16 impact)</t>
  </si>
  <si>
    <t>Net Financial Position at the end of the period (incl. IFRS 16 impact)</t>
  </si>
  <si>
    <t>Right of use IFRS 16</t>
  </si>
  <si>
    <t>Fixed assets excl. IFRS 16</t>
  </si>
  <si>
    <t>Fixed assets incl. IFRS 16</t>
  </si>
  <si>
    <t>Net Financial Position excl. IFRS 16</t>
  </si>
  <si>
    <t>Lease obligations IFRS 16</t>
  </si>
  <si>
    <t>Net Financial Position incl. IFRS 16</t>
  </si>
  <si>
    <t>Tangible assets (excl. IFRS 16)</t>
  </si>
  <si>
    <t>Tangible assets</t>
  </si>
  <si>
    <r>
      <t xml:space="preserve">Adjusted Revenues by Region - </t>
    </r>
    <r>
      <rPr>
        <b/>
        <sz val="10"/>
        <color rgb="FFE22526"/>
        <rFont val="Arial"/>
        <family val="2"/>
      </rPr>
      <t>OLD PERIMETER</t>
    </r>
  </si>
  <si>
    <r>
      <t>Net Financial Position (</t>
    </r>
    <r>
      <rPr>
        <sz val="10"/>
        <color rgb="FFE22526"/>
        <rFont val="Arial"/>
        <family val="2"/>
      </rPr>
      <t>3</t>
    </r>
    <r>
      <rPr>
        <sz val="10"/>
        <color theme="1"/>
        <rFont val="Arial"/>
        <family val="2"/>
      </rPr>
      <t>)</t>
    </r>
  </si>
  <si>
    <t>Net Cash Flow (incl. IFRS 16 impact)</t>
  </si>
  <si>
    <r>
      <rPr>
        <sz val="8"/>
        <color rgb="FFE22526"/>
        <rFont val="Arial"/>
        <family val="2"/>
      </rPr>
      <t>3</t>
    </r>
    <r>
      <rPr>
        <sz val="8"/>
        <color theme="1"/>
        <rFont val="Arial"/>
        <family val="2"/>
      </rPr>
      <t>. The figures refer to the restated consolidated financial statements of Pirelli following the classification of the Industrial business data in the item "Net income (loss) from discontinued operations".</t>
    </r>
  </si>
  <si>
    <r>
      <rPr>
        <sz val="8"/>
        <color rgb="FFE22526"/>
        <rFont val="Arial"/>
        <family val="2"/>
      </rPr>
      <t>2</t>
    </r>
    <r>
      <rPr>
        <sz val="8"/>
        <color theme="1"/>
        <rFont val="Arial"/>
        <family val="2"/>
      </rPr>
      <t>. elimination of IFRS 16 impact on Adjusted EBITDA, CapEx, Working Capital and Interests</t>
    </r>
  </si>
  <si>
    <r>
      <t>IFRS 16 adjustments (</t>
    </r>
    <r>
      <rPr>
        <sz val="10"/>
        <color rgb="FFE22526"/>
        <rFont val="Arial"/>
        <family val="2"/>
      </rPr>
      <t>2</t>
    </r>
    <r>
      <rPr>
        <sz val="10"/>
        <color theme="1"/>
        <rFont val="Arial"/>
        <family val="2"/>
      </rPr>
      <t>)</t>
    </r>
  </si>
  <si>
    <t>IFRS 16 cash flow impact</t>
  </si>
  <si>
    <t>Lease obligations at transition date</t>
  </si>
  <si>
    <t>2Q 2019</t>
  </si>
  <si>
    <t>1H 2019</t>
  </si>
  <si>
    <r>
      <t>Net Income Adjusted (</t>
    </r>
    <r>
      <rPr>
        <b/>
        <sz val="10"/>
        <color rgb="FFE22526"/>
        <rFont val="Arial"/>
        <family val="2"/>
      </rPr>
      <t>6</t>
    </r>
    <r>
      <rPr>
        <b/>
        <sz val="10"/>
        <color theme="1"/>
        <rFont val="Arial"/>
        <family val="2"/>
      </rPr>
      <t>)</t>
    </r>
  </si>
  <si>
    <r>
      <t>Net Income Adjusted (</t>
    </r>
    <r>
      <rPr>
        <sz val="10"/>
        <color rgb="FFE22526"/>
        <rFont val="Arial"/>
        <family val="2"/>
      </rPr>
      <t>6</t>
    </r>
    <r>
      <rPr>
        <sz val="10"/>
        <color theme="1"/>
        <rFont val="Arial"/>
        <family val="2"/>
      </rPr>
      <t>) margin</t>
    </r>
  </si>
  <si>
    <r>
      <rPr>
        <sz val="8"/>
        <color rgb="FFE22526"/>
        <rFont val="Arial"/>
        <family val="2"/>
      </rPr>
      <t>6</t>
    </r>
    <r>
      <rPr>
        <sz val="8"/>
        <color theme="1"/>
        <rFont val="Arial"/>
        <family val="2"/>
      </rPr>
      <t>. Net Income Adjusted: calculated by adjusting Total net income (loss) for EBIT adjustments, the Venezuela deconsolidation, Net financial expenses and Tax.</t>
    </r>
  </si>
  <si>
    <t>3Q 2019</t>
  </si>
  <si>
    <t>9M 2019</t>
  </si>
  <si>
    <t>FY 2019</t>
  </si>
  <si>
    <t>4Q 2019</t>
  </si>
  <si>
    <t>Reversal of accruals and other</t>
  </si>
  <si>
    <r>
      <rPr>
        <b/>
        <sz val="10"/>
        <color theme="1"/>
        <rFont val="Arial"/>
        <family val="2"/>
      </rPr>
      <t>2016-2019 restated / reported figures</t>
    </r>
    <r>
      <rPr>
        <sz val="10"/>
        <color theme="1"/>
        <rFont val="Arial"/>
        <family val="2"/>
      </rPr>
      <t>: include the Industrial business among the “discontinued operation”. The results for the period for the “discontinued operation” were reclassified to the Income Statement as a single item, “net income (loss) related to discontinued operations”, and includes the financial result for the first quarter of 2017 for the Industrial Business, which no longer comes under the consolidation perimeter of the Group as a result of the assignment, as well as the twelve month results for some of the residual Industrial activities currently in the process of being separated. In accordance with the relevant accounting standard, the comparable financial data for 2016 was subjected to restatement. Cash flow for 2017 and 2016 followed the same approach and includes in one single line item the cash flow of the discontinued operation.
Balance Sheet 2017 figures report in one single item named “asset held for sale” the amount of the net asset related to the residual industrial activities currently in the process of being separated. Balance sheet 2016 in accordance to relevant accounting principles has not been restated including figures related to industrial activities in one single line item.</t>
    </r>
  </si>
  <si>
    <t>Other financial assets at fair value through other comprehensive income</t>
  </si>
  <si>
    <t>Dividends / reserves received from associates</t>
  </si>
  <si>
    <t>Disposal (Acquisition) of non-controlling interests</t>
  </si>
  <si>
    <t>Disposals (Acquisition) of other non-current financial assets at fair value through income statement - Other financial assets</t>
  </si>
  <si>
    <t>Quota reimbursement of other non-current financial assets at fair value through other Comprehensive Income</t>
  </si>
  <si>
    <t>Repayment of principal and payment of interest for lease obligations</t>
  </si>
  <si>
    <t>Other changes</t>
  </si>
  <si>
    <t>Derivatives financial instruments not included in Net Financial Position</t>
  </si>
  <si>
    <t>Derivatives financial instruments included in Net Financial Position</t>
  </si>
  <si>
    <t>Asset disposal / acquisition</t>
  </si>
  <si>
    <t>Increase rights of use IFRS 16</t>
  </si>
  <si>
    <t>1Q 2020</t>
  </si>
  <si>
    <r>
      <t xml:space="preserve">Adjusted Revenues by Region - </t>
    </r>
    <r>
      <rPr>
        <b/>
        <sz val="10"/>
        <color rgb="FFE22526"/>
        <rFont val="Arial"/>
        <family val="2"/>
      </rPr>
      <t>2019 PERIMETER</t>
    </r>
  </si>
  <si>
    <r>
      <t>Total Net Leverage (</t>
    </r>
    <r>
      <rPr>
        <sz val="10"/>
        <color rgb="FFE22526"/>
        <rFont val="Arial"/>
        <family val="2"/>
      </rPr>
      <t>7</t>
    </r>
    <r>
      <rPr>
        <sz val="10"/>
        <color theme="1"/>
        <rFont val="Arial"/>
        <family val="2"/>
      </rPr>
      <t>)</t>
    </r>
  </si>
  <si>
    <t>Taxes paid</t>
  </si>
  <si>
    <t>Use of provisions for employee benefit obligations and other provisions</t>
  </si>
  <si>
    <t>Investments in tangible assets</t>
  </si>
  <si>
    <t>Change in payables for investments in tangible assets</t>
  </si>
  <si>
    <t>Disposals (Acquisition) of investments in subsidiaries</t>
  </si>
  <si>
    <t>Lease obligations</t>
  </si>
  <si>
    <t>2Q 2020</t>
  </si>
  <si>
    <t>1H 2020</t>
  </si>
  <si>
    <t>Net Income (Loss)</t>
  </si>
  <si>
    <t>3Q 2020</t>
  </si>
  <si>
    <t>9M 2020</t>
  </si>
  <si>
    <t>FY 2020</t>
  </si>
  <si>
    <t>4Q 2020</t>
  </si>
  <si>
    <r>
      <rPr>
        <sz val="8"/>
        <color rgb="FFE22526"/>
        <rFont val="Arial"/>
        <family val="2"/>
      </rPr>
      <t>3.</t>
    </r>
    <r>
      <rPr>
        <sz val="8"/>
        <color theme="1"/>
        <rFont val="Arial"/>
        <family val="2"/>
      </rPr>
      <t xml:space="preserve"> including the impact of the application of the new accounting standard IFRS 16 - Leases from 2019</t>
    </r>
  </si>
  <si>
    <t>The "Pirelli in Figures" contains historical Pirelli financial figures for the years 2014-2020</t>
  </si>
  <si>
    <t>Non-recurring, restructuring expenses and other</t>
  </si>
  <si>
    <t>Net Cash Flow before dividends, extraordinary transactions &amp; investments</t>
  </si>
  <si>
    <t>EU electric cables market cartel sanction</t>
  </si>
  <si>
    <t>Net Cash Flow before dividends &amp; convertible bond impact</t>
  </si>
  <si>
    <t>Convertible bond impact</t>
  </si>
  <si>
    <t>Other assets</t>
  </si>
  <si>
    <t>Deferred tax liabilities</t>
  </si>
  <si>
    <t>Provisions for employee benefit obligations</t>
  </si>
  <si>
    <t>Reversal of financial expenses / (income)</t>
  </si>
  <si>
    <t>Latest update April 20th, 2021</t>
  </si>
  <si>
    <t>Pirelli in Figures - FY 2020</t>
  </si>
  <si>
    <r>
      <rPr>
        <sz val="8"/>
        <color rgb="FFE22526"/>
        <rFont val="Arial"/>
        <family val="2"/>
      </rPr>
      <t>7</t>
    </r>
    <r>
      <rPr>
        <sz val="8"/>
        <color theme="1"/>
        <rFont val="Arial"/>
        <family val="2"/>
      </rPr>
      <t>. obtained as: Net Financial Position / adj. EBITDA w/o start-up costs (until 2019); Net Financial Position / adj. EBITDA (from 2020)</t>
    </r>
  </si>
  <si>
    <t>Revenues drivers - Full Year figures</t>
  </si>
  <si>
    <t>Revenues drivers - Interim figures</t>
  </si>
  <si>
    <t>Change in Borrowings from banks and other financial institutions due to draw down</t>
  </si>
  <si>
    <t>Change in Borrowings from banks and other financial institutions due to repayments and other</t>
  </si>
  <si>
    <t>Dividends received</t>
  </si>
  <si>
    <t>Exchange rate / hyperinflation accounting in Argentina</t>
  </si>
  <si>
    <t>Financial income / (expenses)</t>
  </si>
  <si>
    <t>Tax income / (expenses)</t>
  </si>
  <si>
    <t>Change in Financial receivables / Other current financial assets at fair value through income statement</t>
  </si>
  <si>
    <t>Change in other receivables</t>
  </si>
  <si>
    <t>Change in other payables</t>
  </si>
  <si>
    <t xml:space="preserve">Uses of Provisions for employee benefit obligations </t>
  </si>
  <si>
    <t>Uses of other provisions</t>
  </si>
  <si>
    <t>Disposal of tangible / intangible assets</t>
  </si>
  <si>
    <t>Disposal of owned tangible assets</t>
  </si>
  <si>
    <t>Disposal of intangible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</si>
</sst>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 _€_-;\-* #,##0.00\ _€_-;_-* &quot;-&quot;??\ _€_-;_-@_-"/>
    <numFmt numFmtId="165" formatCode="0.0%"/>
    <numFmt numFmtId="166" formatCode="#,##0.0"/>
    <numFmt numFmtId="167" formatCode="#,##0.0_);\(#,##0.0\)"/>
    <numFmt numFmtId="168" formatCode="_-* #,##0.0\ _€_-;\-* #,##0.0\ _€_-;_-* &quot;-&quot;??\ _€_-;_-@_-"/>
    <numFmt numFmtId="169" formatCode="#,##0.000000000000000"/>
    <numFmt numFmtId="170" formatCode="#,##0.0_ ;\-#,##0.0\ "/>
    <numFmt numFmtId="171" formatCode="#,##0.00_);\(#,##0.00\)"/>
    <numFmt numFmtId="172" formatCode="#,##0.0000000000000"/>
    <numFmt numFmtId="173" formatCode="#,##0.000"/>
    <numFmt numFmtId="174" formatCode="#,##0.000_);\(#,##0.000\)"/>
    <numFmt numFmtId="175" formatCode="0.000"/>
    <numFmt numFmtId="176" formatCode="#,##0.0000000000000000"/>
    <numFmt numFmtId="177" formatCode="#,##0.00000000000000"/>
  </numFmts>
  <fonts count="50"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1"/>
      <color theme="1"/>
      <name val="Arial"/>
      <family val="2"/>
    </font>
    <font>
      <b/>
      <sz val="11"/>
      <name val="Arial"/>
      <family val="2"/>
    </font>
    <font>
      <sz val="10"/>
      <color indexed="8"/>
      <name val="Arial"/>
      <family val="2"/>
    </font>
    <font>
      <b/>
      <sz val="10"/>
      <color theme="1"/>
      <name val="Arial"/>
      <family val="2"/>
    </font>
    <font>
      <b/>
      <sz val="10"/>
      <color theme="4"/>
      <name val="Arial"/>
      <family val="2"/>
    </font>
    <font>
      <sz val="10"/>
      <color theme="4"/>
      <name val="Arial"/>
      <family val="2"/>
    </font>
    <font>
      <b/>
      <sz val="10"/>
      <name val="Arial"/>
      <family val="2"/>
    </font>
    <font>
      <sz val="10"/>
      <color rgb="FF00B050"/>
      <name val="Arial"/>
      <family val="2"/>
    </font>
    <font>
      <b/>
      <sz val="10"/>
      <color rgb="FF00B050"/>
      <name val="Arial"/>
      <family val="2"/>
    </font>
    <font>
      <i/>
      <sz val="10"/>
      <color theme="1"/>
      <name val="Arial"/>
      <family val="2"/>
    </font>
    <font>
      <b/>
      <sz val="20"/>
      <color theme="1"/>
      <name val="Arial"/>
      <family val="2"/>
    </font>
    <font>
      <u/>
      <sz val="11"/>
      <color theme="10"/>
      <name val="Arial"/>
      <family val="2"/>
      <scheme val="minor"/>
    </font>
    <font>
      <sz val="8"/>
      <color theme="1"/>
      <name val="Arial"/>
      <family val="2"/>
    </font>
    <font>
      <sz val="10"/>
      <color rgb="FF0070C0"/>
      <name val="Arial"/>
      <family val="2"/>
    </font>
    <font>
      <b/>
      <sz val="10"/>
      <color rgb="FF0070C0"/>
      <name val="Arial"/>
      <family val="2"/>
    </font>
    <font>
      <sz val="12"/>
      <name val="Times New Roman"/>
      <family val="1"/>
    </font>
    <font>
      <b/>
      <u/>
      <sz val="12"/>
      <color theme="1"/>
      <name val="Arial"/>
      <family val="2"/>
    </font>
    <font>
      <sz val="10"/>
      <color rgb="FFE22526"/>
      <name val="Arial"/>
      <family val="2"/>
    </font>
    <font>
      <sz val="8"/>
      <color rgb="FFE22526"/>
      <name val="Arial"/>
      <family val="2"/>
    </font>
    <font>
      <b/>
      <sz val="10"/>
      <color rgb="FFE22526"/>
      <name val="Arial"/>
      <family val="2"/>
    </font>
    <font>
      <u/>
      <sz val="10"/>
      <color theme="10"/>
      <name val="Arial"/>
      <family val="2"/>
      <scheme val="minor"/>
    </font>
    <font>
      <sz val="6.4"/>
      <color rgb="FFFF0000"/>
      <name val="Arial"/>
      <family val="2"/>
    </font>
    <font>
      <b/>
      <sz val="10"/>
      <color theme="0"/>
      <name val="Arial"/>
      <family val="2"/>
    </font>
    <font>
      <sz val="10"/>
      <color theme="0"/>
      <name val="Arial"/>
      <family val="2"/>
    </font>
    <font>
      <sz val="10"/>
      <color indexed="81"/>
      <name val="Arial"/>
      <family val="2"/>
      <scheme val="major"/>
    </font>
    <font>
      <sz val="10"/>
      <color indexed="81"/>
      <name val="Arial"/>
      <family val="2"/>
    </font>
    <font>
      <i/>
      <sz val="10"/>
      <color rgb="FF00B050"/>
      <name val="Arial"/>
      <family val="2"/>
    </font>
    <font>
      <i/>
      <sz val="10"/>
      <color theme="4"/>
      <name val="Arial"/>
      <family val="2"/>
    </font>
    <font>
      <i/>
      <sz val="10"/>
      <color rgb="FF0070C0"/>
      <name val="Arial"/>
      <family val="2"/>
    </font>
    <font>
      <sz val="10"/>
      <color theme="1"/>
      <name val="Arial"/>
      <family val="2"/>
      <scheme val="minor"/>
    </font>
  </fonts>
  <fills count="3">
    <fill>
      <patternFill patternType="none"/>
    </fill>
    <fill>
      <patternFill patternType="gray125"/>
    </fill>
    <fill>
      <patternFill patternType="solid">
        <fgColor rgb="FFDDDDDD"/>
        <bgColor indexed="64"/>
      </patternFill>
    </fill>
  </fills>
  <borders count="10">
    <border>
      <left/>
      <right/>
      <top/>
      <bottom/>
      <diagonal/>
    </border>
    <border>
      <left/>
      <right/>
      <top/>
      <bottom style="medium">
        <color indexed="64"/>
      </bottom>
      <diagonal/>
    </border>
    <border>
      <left/>
      <right/>
      <top/>
      <bottom style="hair">
        <color theme="0" tint="-0.14996795556505021"/>
      </bottom>
      <diagonal/>
    </border>
    <border>
      <left/>
      <right/>
      <top style="hair">
        <color theme="0" tint="-0.14996795556505021"/>
      </top>
      <bottom style="thin">
        <color theme="0" tint="-0.499984740745262"/>
      </bottom>
      <diagonal/>
    </border>
    <border>
      <left/>
      <right/>
      <top/>
      <bottom style="thin">
        <color theme="0" tint="-0.499984740745262"/>
      </bottom>
      <diagonal/>
    </border>
    <border>
      <left/>
      <right/>
      <top style="medium">
        <color indexed="64"/>
      </top>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499984740745262"/>
      </top>
      <bottom style="thin">
        <color theme="0" tint="-0.14993743705557422"/>
      </bottom>
      <diagonal/>
    </border>
    <border>
      <left/>
      <right/>
      <top style="thin">
        <color theme="0" tint="-0.499984740745262"/>
      </top>
      <bottom/>
      <diagonal/>
    </border>
  </borders>
  <cellStyleXfs count="11">
    <xf numFmtId="0" fontId="0" fillId="0" borderId="0"/>
    <xf numFmtId="0" fontId="15" fillId="0" borderId="0"/>
    <xf numFmtId="0" fontId="16" fillId="0" borderId="0"/>
    <xf numFmtId="0" fontId="16" fillId="0" borderId="0"/>
    <xf numFmtId="0" fontId="16" fillId="0" borderId="0"/>
    <xf numFmtId="0" fontId="18" fillId="0" borderId="0"/>
    <xf numFmtId="0" fontId="17" fillId="0" borderId="0"/>
    <xf numFmtId="0" fontId="31" fillId="0" borderId="0" applyNumberFormat="0" applyFill="0" applyBorder="0" applyAlignment="0" applyProtection="0"/>
    <xf numFmtId="9" fontId="17" fillId="0" borderId="0" applyFont="0" applyFill="0" applyBorder="0" applyAlignment="0" applyProtection="0"/>
    <xf numFmtId="0" fontId="35" fillId="0" borderId="0"/>
    <xf numFmtId="164" fontId="17" fillId="0" borderId="0" applyFont="0" applyFill="0" applyBorder="0" applyAlignment="0" applyProtection="0"/>
  </cellStyleXfs>
  <cellXfs count="261">
    <xf numFmtId="0" fontId="0" fillId="0" borderId="0" xfId="0"/>
    <xf numFmtId="0" fontId="30" fillId="0" borderId="0" xfId="0" applyFont="1" applyAlignment="1">
      <alignment vertical="center"/>
    </xf>
    <xf numFmtId="0" fontId="15"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15" fillId="0" borderId="0" xfId="0" applyFont="1" applyAlignment="1">
      <alignment horizontal="left" vertical="center"/>
    </xf>
    <xf numFmtId="0" fontId="27" fillId="0" borderId="0" xfId="0" applyFont="1" applyAlignment="1">
      <alignment horizontal="left" vertical="center"/>
    </xf>
    <xf numFmtId="0" fontId="33"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right" vertical="center"/>
    </xf>
    <xf numFmtId="0" fontId="22" fillId="0" borderId="0" xfId="0" applyFont="1" applyAlignment="1">
      <alignment horizontal="left" vertical="center"/>
    </xf>
    <xf numFmtId="0" fontId="23" fillId="0" borderId="1" xfId="0" applyFont="1" applyBorder="1" applyAlignment="1">
      <alignment vertical="center"/>
    </xf>
    <xf numFmtId="0" fontId="15" fillId="0" borderId="1" xfId="0" applyFont="1" applyBorder="1" applyAlignment="1">
      <alignment vertical="center"/>
    </xf>
    <xf numFmtId="0" fontId="23" fillId="0" borderId="1" xfId="0" applyFont="1" applyBorder="1" applyAlignment="1">
      <alignment horizontal="right" vertical="center"/>
    </xf>
    <xf numFmtId="0" fontId="15" fillId="0" borderId="6" xfId="0" applyFont="1" applyBorder="1" applyAlignment="1">
      <alignment vertical="center"/>
    </xf>
    <xf numFmtId="0" fontId="33" fillId="0" borderId="6" xfId="0" applyFont="1" applyBorder="1" applyAlignment="1">
      <alignment vertical="center"/>
    </xf>
    <xf numFmtId="165" fontId="33" fillId="0" borderId="6" xfId="0" applyNumberFormat="1" applyFont="1" applyBorder="1" applyAlignment="1">
      <alignment vertical="center"/>
    </xf>
    <xf numFmtId="0" fontId="15" fillId="0" borderId="7" xfId="0" applyFont="1" applyBorder="1" applyAlignment="1">
      <alignment horizontal="left" vertical="center"/>
    </xf>
    <xf numFmtId="0" fontId="33" fillId="0" borderId="7" xfId="0" applyFont="1" applyBorder="1" applyAlignment="1">
      <alignment vertical="center"/>
    </xf>
    <xf numFmtId="165" fontId="33" fillId="0" borderId="7" xfId="0" applyNumberFormat="1" applyFont="1" applyBorder="1" applyAlignment="1">
      <alignment vertical="center"/>
    </xf>
    <xf numFmtId="0" fontId="33" fillId="0" borderId="0" xfId="0" applyFont="1" applyAlignment="1">
      <alignment vertical="center"/>
    </xf>
    <xf numFmtId="165" fontId="33" fillId="0" borderId="0" xfId="0" applyNumberFormat="1" applyFont="1" applyAlignment="1">
      <alignment vertical="center"/>
    </xf>
    <xf numFmtId="0" fontId="15" fillId="0" borderId="6" xfId="0" applyFont="1" applyBorder="1" applyAlignment="1">
      <alignment vertical="center" wrapText="1"/>
    </xf>
    <xf numFmtId="165" fontId="15" fillId="0" borderId="0" xfId="0" applyNumberFormat="1" applyFont="1" applyAlignment="1">
      <alignment vertical="center"/>
    </xf>
    <xf numFmtId="0" fontId="23" fillId="0" borderId="0" xfId="0" applyFont="1" applyAlignment="1">
      <alignment vertical="center"/>
    </xf>
    <xf numFmtId="166" fontId="15" fillId="0" borderId="6" xfId="0" applyNumberFormat="1" applyFont="1" applyBorder="1" applyAlignment="1">
      <alignment vertical="center"/>
    </xf>
    <xf numFmtId="167" fontId="33" fillId="0" borderId="6" xfId="0" applyNumberFormat="1" applyFont="1" applyBorder="1" applyAlignment="1">
      <alignment vertical="center"/>
    </xf>
    <xf numFmtId="0" fontId="29" fillId="0" borderId="7" xfId="0" applyFont="1" applyBorder="1" applyAlignment="1">
      <alignment vertical="center"/>
    </xf>
    <xf numFmtId="165" fontId="29" fillId="0" borderId="7" xfId="0" applyNumberFormat="1" applyFont="1" applyBorder="1" applyAlignment="1">
      <alignment vertical="center"/>
    </xf>
    <xf numFmtId="0" fontId="29" fillId="0" borderId="0" xfId="0" applyFont="1" applyAlignment="1">
      <alignment vertical="center"/>
    </xf>
    <xf numFmtId="167" fontId="15" fillId="0" borderId="0" xfId="0" applyNumberFormat="1" applyFont="1" applyAlignment="1">
      <alignment vertical="center"/>
    </xf>
    <xf numFmtId="0" fontId="15" fillId="0" borderId="7" xfId="0" applyFont="1" applyBorder="1" applyAlignment="1">
      <alignment horizontal="left" vertical="center" indent="1"/>
    </xf>
    <xf numFmtId="0" fontId="22" fillId="0" borderId="0" xfId="0" applyFont="1" applyAlignment="1">
      <alignment horizontal="left" vertical="center" indent="1"/>
    </xf>
    <xf numFmtId="167" fontId="27" fillId="0" borderId="6" xfId="0" applyNumberFormat="1" applyFont="1" applyBorder="1" applyAlignment="1">
      <alignment vertical="center"/>
    </xf>
    <xf numFmtId="165" fontId="27" fillId="0" borderId="6" xfId="0" applyNumberFormat="1" applyFont="1" applyBorder="1" applyAlignment="1">
      <alignment vertical="center"/>
    </xf>
    <xf numFmtId="165" fontId="27" fillId="0" borderId="7" xfId="0" applyNumberFormat="1" applyFont="1" applyBorder="1" applyAlignment="1">
      <alignment vertical="center"/>
    </xf>
    <xf numFmtId="0" fontId="15" fillId="0" borderId="6" xfId="0" applyFont="1" applyBorder="1" applyAlignment="1">
      <alignment horizontal="left" vertical="center"/>
    </xf>
    <xf numFmtId="0" fontId="23" fillId="0" borderId="4" xfId="0" applyFont="1" applyFill="1" applyBorder="1" applyAlignment="1">
      <alignment vertical="center"/>
    </xf>
    <xf numFmtId="0" fontId="15" fillId="0" borderId="6" xfId="0" applyFont="1" applyBorder="1" applyAlignment="1">
      <alignment horizontal="left" vertical="center" indent="1"/>
    </xf>
    <xf numFmtId="167" fontId="16" fillId="0" borderId="6" xfId="0" applyNumberFormat="1" applyFont="1" applyBorder="1" applyAlignment="1">
      <alignment vertical="center"/>
    </xf>
    <xf numFmtId="0" fontId="15" fillId="0" borderId="0" xfId="0" applyFont="1" applyAlignment="1">
      <alignment horizontal="right" vertical="center"/>
    </xf>
    <xf numFmtId="0" fontId="23" fillId="0" borderId="4" xfId="0" applyFont="1" applyBorder="1" applyAlignment="1">
      <alignment vertical="center"/>
    </xf>
    <xf numFmtId="167" fontId="34" fillId="0" borderId="4" xfId="0" applyNumberFormat="1" applyFont="1" applyBorder="1" applyAlignment="1">
      <alignment horizontal="right" vertical="center"/>
    </xf>
    <xf numFmtId="167" fontId="15" fillId="0" borderId="0" xfId="0" applyNumberFormat="1" applyFont="1" applyAlignment="1">
      <alignment horizontal="right" vertical="center"/>
    </xf>
    <xf numFmtId="167" fontId="33" fillId="0" borderId="6" xfId="0" applyNumberFormat="1" applyFont="1" applyBorder="1" applyAlignment="1">
      <alignment horizontal="right" vertical="center"/>
    </xf>
    <xf numFmtId="167" fontId="33" fillId="0" borderId="7" xfId="0" applyNumberFormat="1" applyFont="1" applyBorder="1" applyAlignment="1">
      <alignment horizontal="right" vertical="center"/>
    </xf>
    <xf numFmtId="165" fontId="16" fillId="0" borderId="6" xfId="0" applyNumberFormat="1" applyFont="1" applyBorder="1" applyAlignment="1">
      <alignment horizontal="right" vertical="center"/>
    </xf>
    <xf numFmtId="167" fontId="26" fillId="0" borderId="4" xfId="0" applyNumberFormat="1" applyFont="1" applyBorder="1" applyAlignment="1">
      <alignment horizontal="right" vertical="center"/>
    </xf>
    <xf numFmtId="0" fontId="15" fillId="0" borderId="8" xfId="0" applyFont="1" applyBorder="1" applyAlignment="1">
      <alignment horizontal="left" vertical="center"/>
    </xf>
    <xf numFmtId="165" fontId="16" fillId="0" borderId="8" xfId="0" applyNumberFormat="1" applyFont="1" applyBorder="1" applyAlignment="1">
      <alignment horizontal="right" vertical="center"/>
    </xf>
    <xf numFmtId="167" fontId="23" fillId="0" borderId="4" xfId="0" applyNumberFormat="1" applyFont="1" applyBorder="1" applyAlignment="1">
      <alignment horizontal="right" vertical="center"/>
    </xf>
    <xf numFmtId="167" fontId="33" fillId="0" borderId="8" xfId="0" applyNumberFormat="1" applyFont="1" applyBorder="1" applyAlignment="1">
      <alignment horizontal="right" vertical="center"/>
    </xf>
    <xf numFmtId="165" fontId="16" fillId="0" borderId="7" xfId="0" applyNumberFormat="1" applyFont="1" applyBorder="1" applyAlignment="1">
      <alignment horizontal="right" vertical="center"/>
    </xf>
    <xf numFmtId="167" fontId="15" fillId="0" borderId="6" xfId="0" applyNumberFormat="1" applyFont="1" applyBorder="1" applyAlignment="1">
      <alignment horizontal="right" vertical="center"/>
    </xf>
    <xf numFmtId="167" fontId="15" fillId="0" borderId="7" xfId="0" applyNumberFormat="1" applyFont="1" applyBorder="1" applyAlignment="1">
      <alignment horizontal="right" vertical="center"/>
    </xf>
    <xf numFmtId="167" fontId="27" fillId="0" borderId="6" xfId="0" applyNumberFormat="1" applyFont="1" applyBorder="1" applyAlignment="1">
      <alignment horizontal="right" vertical="center"/>
    </xf>
    <xf numFmtId="0" fontId="15" fillId="0" borderId="8" xfId="0" applyFont="1" applyBorder="1" applyAlignment="1">
      <alignment vertical="center"/>
    </xf>
    <xf numFmtId="9" fontId="16" fillId="0" borderId="8" xfId="0" applyNumberFormat="1" applyFont="1" applyBorder="1" applyAlignment="1">
      <alignment horizontal="right" vertical="center"/>
    </xf>
    <xf numFmtId="0" fontId="15" fillId="0" borderId="0" xfId="0" applyFont="1" applyBorder="1" applyAlignment="1">
      <alignment vertical="center"/>
    </xf>
    <xf numFmtId="167" fontId="15" fillId="0" borderId="0" xfId="0" applyNumberFormat="1" applyFont="1" applyBorder="1" applyAlignment="1">
      <alignment horizontal="right" vertical="center"/>
    </xf>
    <xf numFmtId="167" fontId="28" fillId="0" borderId="4" xfId="0" applyNumberFormat="1" applyFont="1" applyBorder="1" applyAlignment="1">
      <alignment horizontal="right" vertical="center"/>
    </xf>
    <xf numFmtId="167" fontId="15" fillId="0" borderId="8" xfId="0" applyNumberFormat="1" applyFont="1" applyBorder="1" applyAlignment="1">
      <alignment horizontal="right" vertical="center"/>
    </xf>
    <xf numFmtId="0" fontId="32" fillId="0" borderId="0" xfId="0" applyFont="1" applyAlignment="1">
      <alignment vertical="center"/>
    </xf>
    <xf numFmtId="0" fontId="15" fillId="0" borderId="8" xfId="0" applyFont="1" applyBorder="1" applyAlignment="1">
      <alignment horizontal="left" vertical="center" indent="1"/>
    </xf>
    <xf numFmtId="0" fontId="15" fillId="0" borderId="7" xfId="0" applyFont="1" applyBorder="1" applyAlignment="1">
      <alignment horizontal="left" vertical="center" indent="2"/>
    </xf>
    <xf numFmtId="0" fontId="15" fillId="0" borderId="6" xfId="0" applyFont="1" applyBorder="1" applyAlignment="1">
      <alignment horizontal="left" vertical="center" indent="2"/>
    </xf>
    <xf numFmtId="167" fontId="34" fillId="0" borderId="4" xfId="0" applyNumberFormat="1" applyFont="1" applyFill="1" applyBorder="1" applyAlignment="1">
      <alignment horizontal="right" vertical="center"/>
    </xf>
    <xf numFmtId="167" fontId="25" fillId="0" borderId="0" xfId="0" applyNumberFormat="1" applyFont="1" applyAlignment="1">
      <alignment horizontal="right" vertical="center"/>
    </xf>
    <xf numFmtId="167" fontId="25" fillId="0" borderId="6" xfId="0" applyNumberFormat="1" applyFont="1" applyBorder="1" applyAlignment="1">
      <alignment horizontal="right" vertical="center"/>
    </xf>
    <xf numFmtId="167" fontId="33" fillId="0" borderId="8" xfId="0" applyNumberFormat="1" applyFont="1" applyFill="1" applyBorder="1" applyAlignment="1">
      <alignment horizontal="right" vertical="center"/>
    </xf>
    <xf numFmtId="167" fontId="33" fillId="0" borderId="7" xfId="0" applyNumberFormat="1" applyFont="1" applyFill="1" applyBorder="1" applyAlignment="1">
      <alignment horizontal="right" vertical="center"/>
    </xf>
    <xf numFmtId="167" fontId="25" fillId="0" borderId="7" xfId="0" applyNumberFormat="1" applyFont="1" applyBorder="1" applyAlignment="1">
      <alignment horizontal="right" vertical="center"/>
    </xf>
    <xf numFmtId="167" fontId="25" fillId="0" borderId="8" xfId="0" applyNumberFormat="1" applyFont="1" applyBorder="1" applyAlignment="1">
      <alignment horizontal="right" vertical="center"/>
    </xf>
    <xf numFmtId="0" fontId="25" fillId="0" borderId="0" xfId="0" applyFont="1" applyAlignment="1">
      <alignment horizontal="right" vertical="center"/>
    </xf>
    <xf numFmtId="167" fontId="28" fillId="0" borderId="4" xfId="0" applyNumberFormat="1" applyFont="1" applyFill="1" applyBorder="1" applyAlignment="1">
      <alignment horizontal="right" vertical="center"/>
    </xf>
    <xf numFmtId="167" fontId="27" fillId="0" borderId="8" xfId="0" applyNumberFormat="1" applyFont="1" applyFill="1" applyBorder="1" applyAlignment="1">
      <alignment horizontal="right" vertical="center"/>
    </xf>
    <xf numFmtId="167" fontId="27" fillId="0" borderId="7" xfId="0" applyNumberFormat="1" applyFont="1" applyFill="1" applyBorder="1" applyAlignment="1">
      <alignment horizontal="right" vertical="center"/>
    </xf>
    <xf numFmtId="167" fontId="27" fillId="0" borderId="7" xfId="0" applyNumberFormat="1" applyFont="1" applyBorder="1" applyAlignment="1">
      <alignment horizontal="right" vertical="center"/>
    </xf>
    <xf numFmtId="167" fontId="27" fillId="0" borderId="8" xfId="0" applyNumberFormat="1" applyFont="1" applyBorder="1" applyAlignment="1">
      <alignment horizontal="right" vertical="center"/>
    </xf>
    <xf numFmtId="167" fontId="26" fillId="0" borderId="4" xfId="0" applyNumberFormat="1" applyFont="1" applyFill="1" applyBorder="1" applyAlignment="1">
      <alignment horizontal="right" vertical="center"/>
    </xf>
    <xf numFmtId="167" fontId="16" fillId="0" borderId="6" xfId="0" applyNumberFormat="1" applyFont="1" applyBorder="1" applyAlignment="1">
      <alignment horizontal="right" vertical="center"/>
    </xf>
    <xf numFmtId="167" fontId="16" fillId="0" borderId="8" xfId="0" applyNumberFormat="1" applyFont="1" applyFill="1" applyBorder="1" applyAlignment="1">
      <alignment horizontal="right" vertical="center"/>
    </xf>
    <xf numFmtId="167" fontId="16" fillId="0" borderId="7" xfId="0" applyNumberFormat="1" applyFont="1" applyFill="1" applyBorder="1" applyAlignment="1">
      <alignment horizontal="right" vertical="center"/>
    </xf>
    <xf numFmtId="167" fontId="16" fillId="0" borderId="7" xfId="0" applyNumberFormat="1" applyFont="1" applyBorder="1" applyAlignment="1">
      <alignment horizontal="right" vertical="center"/>
    </xf>
    <xf numFmtId="167" fontId="16" fillId="0" borderId="6" xfId="0" applyNumberFormat="1" applyFont="1" applyFill="1" applyBorder="1" applyAlignment="1">
      <alignment horizontal="right" vertical="center"/>
    </xf>
    <xf numFmtId="167" fontId="16" fillId="0" borderId="8" xfId="0" applyNumberFormat="1" applyFont="1" applyBorder="1" applyAlignment="1">
      <alignment horizontal="right" vertical="center"/>
    </xf>
    <xf numFmtId="0" fontId="15" fillId="0" borderId="7" xfId="0" applyFont="1" applyFill="1" applyBorder="1" applyAlignment="1">
      <alignment horizontal="left" vertical="center"/>
    </xf>
    <xf numFmtId="167" fontId="16" fillId="0" borderId="2" xfId="0" applyNumberFormat="1" applyFont="1" applyFill="1" applyBorder="1" applyAlignment="1">
      <alignment horizontal="right" vertical="center"/>
    </xf>
    <xf numFmtId="167" fontId="25" fillId="0" borderId="7" xfId="0" applyNumberFormat="1" applyFont="1" applyFill="1" applyBorder="1" applyAlignment="1">
      <alignment horizontal="right" vertical="center"/>
    </xf>
    <xf numFmtId="167" fontId="33" fillId="0" borderId="6" xfId="0" applyNumberFormat="1" applyFont="1" applyFill="1" applyBorder="1" applyAlignment="1">
      <alignment horizontal="right" vertical="center"/>
    </xf>
    <xf numFmtId="0" fontId="23" fillId="0" borderId="7" xfId="0" applyFont="1" applyBorder="1" applyAlignment="1">
      <alignment horizontal="left" vertical="center"/>
    </xf>
    <xf numFmtId="167" fontId="23" fillId="0" borderId="7" xfId="0" applyNumberFormat="1" applyFont="1" applyBorder="1" applyAlignment="1">
      <alignment horizontal="right" vertical="center"/>
    </xf>
    <xf numFmtId="0" fontId="15" fillId="0" borderId="7" xfId="0" applyFont="1" applyBorder="1" applyAlignment="1">
      <alignment horizontal="left" vertical="center" indent="3"/>
    </xf>
    <xf numFmtId="0" fontId="15" fillId="0" borderId="2" xfId="0" applyFont="1" applyBorder="1" applyAlignment="1">
      <alignment horizontal="left" vertical="center" indent="2"/>
    </xf>
    <xf numFmtId="0" fontId="23" fillId="0" borderId="7" xfId="0" applyFont="1" applyBorder="1" applyAlignment="1">
      <alignment horizontal="left" vertical="center" indent="1"/>
    </xf>
    <xf numFmtId="166" fontId="15" fillId="0" borderId="6" xfId="0" applyNumberFormat="1" applyFont="1" applyBorder="1" applyAlignment="1">
      <alignment horizontal="left" vertical="center"/>
    </xf>
    <xf numFmtId="0" fontId="15" fillId="0" borderId="5" xfId="0" applyFont="1" applyBorder="1" applyAlignment="1">
      <alignment vertical="center"/>
    </xf>
    <xf numFmtId="167" fontId="23" fillId="0" borderId="7" xfId="0" applyNumberFormat="1" applyFont="1" applyFill="1" applyBorder="1" applyAlignment="1">
      <alignment horizontal="right" vertical="center"/>
    </xf>
    <xf numFmtId="0" fontId="15" fillId="0" borderId="9" xfId="0" applyFont="1" applyBorder="1" applyAlignment="1">
      <alignment vertical="center"/>
    </xf>
    <xf numFmtId="167" fontId="15" fillId="0" borderId="9" xfId="0" applyNumberFormat="1" applyFont="1" applyBorder="1" applyAlignment="1">
      <alignment horizontal="right" vertical="center"/>
    </xf>
    <xf numFmtId="0" fontId="23" fillId="2" borderId="0" xfId="0" applyFont="1" applyFill="1" applyAlignment="1">
      <alignment vertical="center"/>
    </xf>
    <xf numFmtId="166" fontId="23" fillId="2" borderId="0" xfId="0" applyNumberFormat="1" applyFont="1" applyFill="1" applyAlignment="1">
      <alignment vertical="center"/>
    </xf>
    <xf numFmtId="0" fontId="23" fillId="2" borderId="4" xfId="0" applyFont="1" applyFill="1" applyBorder="1" applyAlignment="1">
      <alignment vertical="center"/>
    </xf>
    <xf numFmtId="167" fontId="23" fillId="2" borderId="4" xfId="0" applyNumberFormat="1" applyFont="1" applyFill="1" applyBorder="1" applyAlignment="1">
      <alignment horizontal="right" vertical="center"/>
    </xf>
    <xf numFmtId="167" fontId="34" fillId="2" borderId="4" xfId="0" applyNumberFormat="1" applyFont="1" applyFill="1" applyBorder="1" applyAlignment="1">
      <alignment horizontal="right" vertical="center"/>
    </xf>
    <xf numFmtId="167" fontId="26" fillId="2" borderId="4" xfId="0" applyNumberFormat="1" applyFont="1" applyFill="1" applyBorder="1" applyAlignment="1">
      <alignment horizontal="right" vertical="center"/>
    </xf>
    <xf numFmtId="167" fontId="28" fillId="2" borderId="4" xfId="0" applyNumberFormat="1" applyFont="1" applyFill="1" applyBorder="1" applyAlignment="1">
      <alignment horizontal="right" vertical="center"/>
    </xf>
    <xf numFmtId="0" fontId="26" fillId="2" borderId="4" xfId="0" applyFont="1" applyFill="1" applyBorder="1" applyAlignment="1">
      <alignment vertical="center"/>
    </xf>
    <xf numFmtId="165" fontId="26" fillId="2" borderId="4" xfId="0" applyNumberFormat="1" applyFont="1" applyFill="1" applyBorder="1" applyAlignment="1">
      <alignment vertical="center"/>
    </xf>
    <xf numFmtId="167" fontId="23" fillId="2" borderId="4" xfId="0" applyNumberFormat="1" applyFont="1" applyFill="1" applyBorder="1" applyAlignment="1">
      <alignment vertical="center"/>
    </xf>
    <xf numFmtId="0" fontId="23" fillId="2" borderId="3" xfId="0" applyFont="1" applyFill="1" applyBorder="1" applyAlignment="1">
      <alignment vertical="center"/>
    </xf>
    <xf numFmtId="167" fontId="23" fillId="2" borderId="3" xfId="0" applyNumberFormat="1" applyFont="1" applyFill="1" applyBorder="1" applyAlignment="1">
      <alignment horizontal="right" vertical="center"/>
    </xf>
    <xf numFmtId="0" fontId="15" fillId="0" borderId="9" xfId="0" applyFont="1" applyBorder="1" applyAlignment="1">
      <alignment horizontal="left" vertical="center" indent="1"/>
    </xf>
    <xf numFmtId="167" fontId="25" fillId="0" borderId="9" xfId="0" applyNumberFormat="1" applyFont="1" applyBorder="1" applyAlignment="1">
      <alignment horizontal="right" vertical="center"/>
    </xf>
    <xf numFmtId="167" fontId="27" fillId="0" borderId="9" xfId="0" applyNumberFormat="1" applyFont="1" applyBorder="1" applyAlignment="1">
      <alignment horizontal="right" vertical="center"/>
    </xf>
    <xf numFmtId="0" fontId="15" fillId="0" borderId="9" xfId="0" applyFont="1" applyBorder="1" applyAlignment="1">
      <alignment horizontal="left" vertical="center"/>
    </xf>
    <xf numFmtId="167" fontId="33" fillId="0" borderId="6" xfId="0" quotePrefix="1" applyNumberFormat="1" applyFont="1" applyBorder="1" applyAlignment="1">
      <alignment horizontal="right" vertical="center"/>
    </xf>
    <xf numFmtId="0" fontId="23" fillId="0" borderId="0" xfId="0" applyFont="1" applyFill="1" applyAlignment="1">
      <alignment vertical="center"/>
    </xf>
    <xf numFmtId="167" fontId="27" fillId="0" borderId="6" xfId="0" applyNumberFormat="1" applyFont="1" applyFill="1" applyBorder="1" applyAlignment="1">
      <alignment horizontal="right" vertical="center"/>
    </xf>
    <xf numFmtId="0" fontId="15" fillId="0" borderId="0" xfId="0" applyFont="1" applyBorder="1" applyAlignment="1">
      <alignment horizontal="right" vertical="center"/>
    </xf>
    <xf numFmtId="0" fontId="15" fillId="0" borderId="7" xfId="0" applyFont="1" applyFill="1" applyBorder="1" applyAlignment="1">
      <alignment horizontal="left" vertical="center" indent="2"/>
    </xf>
    <xf numFmtId="167" fontId="23" fillId="0" borderId="4" xfId="0" applyNumberFormat="1" applyFont="1" applyFill="1" applyBorder="1" applyAlignment="1">
      <alignment horizontal="right" vertical="center"/>
    </xf>
    <xf numFmtId="167" fontId="15" fillId="0" borderId="0" xfId="0" applyNumberFormat="1" applyFont="1" applyFill="1" applyAlignment="1">
      <alignment horizontal="right" vertical="center"/>
    </xf>
    <xf numFmtId="0" fontId="23" fillId="0" borderId="6" xfId="0" applyFont="1" applyBorder="1" applyAlignment="1">
      <alignment vertical="center"/>
    </xf>
    <xf numFmtId="167" fontId="15" fillId="0" borderId="7" xfId="0" applyNumberFormat="1" applyFont="1" applyFill="1" applyBorder="1" applyAlignment="1">
      <alignment horizontal="right" vertical="center"/>
    </xf>
    <xf numFmtId="0" fontId="23" fillId="2" borderId="4" xfId="0" applyFont="1" applyFill="1" applyBorder="1" applyAlignment="1">
      <alignment horizontal="left" vertical="center"/>
    </xf>
    <xf numFmtId="167" fontId="24" fillId="2" borderId="4" xfId="0" applyNumberFormat="1" applyFont="1" applyFill="1" applyBorder="1" applyAlignment="1">
      <alignment horizontal="right" vertical="center"/>
    </xf>
    <xf numFmtId="0" fontId="23" fillId="0" borderId="6" xfId="0" applyFont="1" applyBorder="1" applyAlignment="1">
      <alignment horizontal="left" vertical="center"/>
    </xf>
    <xf numFmtId="167" fontId="28" fillId="0" borderId="6" xfId="0" applyNumberFormat="1" applyFont="1" applyBorder="1" applyAlignment="1">
      <alignment horizontal="right" vertical="center"/>
    </xf>
    <xf numFmtId="0" fontId="23" fillId="0" borderId="4" xfId="0" applyFont="1" applyFill="1" applyBorder="1" applyAlignment="1">
      <alignment horizontal="left" vertical="center"/>
    </xf>
    <xf numFmtId="0" fontId="23" fillId="0" borderId="6" xfId="0" applyFont="1" applyBorder="1" applyAlignment="1">
      <alignment horizontal="left" vertical="center" indent="3"/>
    </xf>
    <xf numFmtId="0" fontId="23" fillId="0" borderId="7" xfId="0" applyFont="1" applyBorder="1" applyAlignment="1">
      <alignment horizontal="left" vertical="center" indent="2"/>
    </xf>
    <xf numFmtId="0" fontId="14" fillId="0" borderId="0" xfId="0" applyFont="1" applyAlignment="1">
      <alignment horizontal="right" vertical="center"/>
    </xf>
    <xf numFmtId="0" fontId="14" fillId="0" borderId="0" xfId="0" applyFont="1" applyAlignment="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indent="2"/>
    </xf>
    <xf numFmtId="0" fontId="14" fillId="0" borderId="7" xfId="0" applyFont="1" applyBorder="1" applyAlignment="1">
      <alignment horizontal="left" vertical="center"/>
    </xf>
    <xf numFmtId="0" fontId="14" fillId="0" borderId="7" xfId="0" applyFont="1" applyBorder="1" applyAlignment="1">
      <alignment horizontal="left" vertical="center" indent="1"/>
    </xf>
    <xf numFmtId="167" fontId="14" fillId="0" borderId="0" xfId="0" applyNumberFormat="1" applyFont="1" applyFill="1" applyAlignment="1">
      <alignment horizontal="right" vertical="center"/>
    </xf>
    <xf numFmtId="167" fontId="14" fillId="0" borderId="6" xfId="0" applyNumberFormat="1" applyFont="1" applyFill="1" applyBorder="1" applyAlignment="1">
      <alignment horizontal="right" vertical="center"/>
    </xf>
    <xf numFmtId="167" fontId="14" fillId="0" borderId="7" xfId="0" applyNumberFormat="1" applyFont="1" applyFill="1" applyBorder="1" applyAlignment="1">
      <alignment horizontal="right" vertical="center"/>
    </xf>
    <xf numFmtId="0" fontId="14" fillId="0" borderId="7" xfId="0" applyFont="1" applyBorder="1" applyAlignment="1">
      <alignment horizontal="left" vertical="center" indent="3"/>
    </xf>
    <xf numFmtId="0" fontId="14" fillId="0" borderId="0" xfId="0" applyFont="1" applyBorder="1" applyAlignment="1">
      <alignment vertical="center"/>
    </xf>
    <xf numFmtId="167" fontId="14" fillId="0" borderId="0" xfId="0" applyNumberFormat="1" applyFont="1" applyBorder="1" applyAlignment="1">
      <alignment horizontal="right" vertical="center"/>
    </xf>
    <xf numFmtId="0" fontId="14" fillId="0" borderId="6" xfId="0" applyFont="1" applyBorder="1" applyAlignment="1">
      <alignment horizontal="left" vertical="center" indent="1"/>
    </xf>
    <xf numFmtId="167" fontId="15" fillId="0" borderId="6" xfId="0" applyNumberFormat="1" applyFont="1" applyBorder="1" applyAlignment="1">
      <alignment horizontal="left" vertical="center"/>
    </xf>
    <xf numFmtId="167" fontId="15" fillId="0" borderId="7" xfId="0" applyNumberFormat="1" applyFont="1" applyBorder="1" applyAlignment="1">
      <alignment horizontal="left" vertical="center"/>
    </xf>
    <xf numFmtId="167" fontId="15" fillId="0" borderId="7" xfId="0" applyNumberFormat="1" applyFont="1" applyBorder="1" applyAlignment="1">
      <alignment vertical="center"/>
    </xf>
    <xf numFmtId="167" fontId="23" fillId="0" borderId="4" xfId="0" applyNumberFormat="1" applyFont="1" applyBorder="1" applyAlignment="1">
      <alignment vertical="center"/>
    </xf>
    <xf numFmtId="167" fontId="23" fillId="0" borderId="6" xfId="0" applyNumberFormat="1" applyFont="1" applyBorder="1" applyAlignment="1">
      <alignment vertical="center"/>
    </xf>
    <xf numFmtId="0" fontId="23" fillId="0" borderId="7" xfId="0" applyFont="1" applyBorder="1" applyAlignment="1">
      <alignment vertical="center"/>
    </xf>
    <xf numFmtId="167" fontId="23" fillId="0" borderId="7" xfId="0" applyNumberFormat="1" applyFont="1" applyBorder="1" applyAlignment="1">
      <alignment vertical="center"/>
    </xf>
    <xf numFmtId="167" fontId="23" fillId="2" borderId="4" xfId="0" applyNumberFormat="1" applyFont="1" applyFill="1" applyBorder="1" applyAlignment="1">
      <alignment horizontal="left" vertical="center"/>
    </xf>
    <xf numFmtId="167" fontId="23" fillId="0" borderId="6" xfId="0" applyNumberFormat="1" applyFont="1" applyBorder="1" applyAlignment="1">
      <alignment horizontal="left" vertical="center"/>
    </xf>
    <xf numFmtId="167" fontId="28" fillId="0" borderId="6" xfId="0" applyNumberFormat="1" applyFont="1" applyFill="1" applyBorder="1" applyAlignment="1">
      <alignment horizontal="right" vertical="center"/>
    </xf>
    <xf numFmtId="167" fontId="23" fillId="0" borderId="7" xfId="0" applyNumberFormat="1" applyFont="1" applyBorder="1" applyAlignment="1">
      <alignment horizontal="left" vertical="center"/>
    </xf>
    <xf numFmtId="167" fontId="26" fillId="0" borderId="7" xfId="0" applyNumberFormat="1" applyFont="1" applyFill="1" applyBorder="1" applyAlignment="1">
      <alignment horizontal="right" vertical="center"/>
    </xf>
    <xf numFmtId="167" fontId="23" fillId="0" borderId="4" xfId="0" applyNumberFormat="1" applyFont="1" applyFill="1" applyBorder="1" applyAlignment="1">
      <alignment horizontal="left" vertical="center"/>
    </xf>
    <xf numFmtId="0" fontId="15" fillId="0" borderId="0" xfId="0" applyFont="1" applyFill="1" applyAlignment="1">
      <alignment vertical="center"/>
    </xf>
    <xf numFmtId="167" fontId="33" fillId="0" borderId="6" xfId="0" applyNumberFormat="1" applyFont="1" applyFill="1" applyBorder="1" applyAlignment="1">
      <alignment vertical="center"/>
    </xf>
    <xf numFmtId="9" fontId="33" fillId="0" borderId="9" xfId="0" applyNumberFormat="1" applyFont="1" applyBorder="1" applyAlignment="1">
      <alignment horizontal="right" vertical="center"/>
    </xf>
    <xf numFmtId="9" fontId="33" fillId="0" borderId="9" xfId="8" applyNumberFormat="1" applyFont="1" applyBorder="1" applyAlignment="1">
      <alignment horizontal="right" vertical="center"/>
    </xf>
    <xf numFmtId="0" fontId="15" fillId="0" borderId="7" xfId="0" applyFont="1" applyFill="1" applyBorder="1" applyAlignment="1">
      <alignment horizontal="left" vertical="center" indent="1"/>
    </xf>
    <xf numFmtId="0" fontId="36" fillId="0" borderId="0" xfId="0" applyFont="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8" xfId="0" applyFont="1" applyBorder="1" applyAlignment="1">
      <alignment vertical="center"/>
    </xf>
    <xf numFmtId="0" fontId="13" fillId="0" borderId="7" xfId="0" applyFon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indent="1"/>
    </xf>
    <xf numFmtId="167" fontId="25" fillId="0" borderId="8" xfId="0" applyNumberFormat="1" applyFont="1" applyFill="1" applyBorder="1" applyAlignment="1">
      <alignment horizontal="right" vertical="center"/>
    </xf>
    <xf numFmtId="0" fontId="11" fillId="0" borderId="6" xfId="0" applyFont="1" applyBorder="1" applyAlignment="1">
      <alignment vertical="center"/>
    </xf>
    <xf numFmtId="9" fontId="15" fillId="0" borderId="0" xfId="8" applyFont="1" applyAlignment="1">
      <alignment vertical="center"/>
    </xf>
    <xf numFmtId="0" fontId="10" fillId="0" borderId="8" xfId="0" applyFont="1" applyBorder="1" applyAlignment="1">
      <alignment horizontal="left" vertical="center"/>
    </xf>
    <xf numFmtId="0" fontId="23" fillId="0" borderId="1" xfId="0" applyFont="1" applyFill="1" applyBorder="1" applyAlignment="1">
      <alignment horizontal="right" vertical="center"/>
    </xf>
    <xf numFmtId="0" fontId="9" fillId="0" borderId="0" xfId="0" applyFont="1" applyAlignment="1">
      <alignment horizontal="right" vertical="center"/>
    </xf>
    <xf numFmtId="165" fontId="23" fillId="0" borderId="0" xfId="8" applyNumberFormat="1" applyFont="1" applyAlignment="1">
      <alignment vertical="center"/>
    </xf>
    <xf numFmtId="167" fontId="25" fillId="0" borderId="0" xfId="0" applyNumberFormat="1" applyFont="1" applyFill="1" applyAlignment="1">
      <alignment horizontal="right" vertical="center"/>
    </xf>
    <xf numFmtId="167" fontId="25" fillId="0" borderId="6" xfId="0" applyNumberFormat="1" applyFont="1" applyFill="1" applyBorder="1" applyAlignment="1">
      <alignment horizontal="right" vertical="center"/>
    </xf>
    <xf numFmtId="0" fontId="8" fillId="0" borderId="6" xfId="0" applyFont="1" applyBorder="1" applyAlignment="1">
      <alignment vertical="center"/>
    </xf>
    <xf numFmtId="165" fontId="15" fillId="0" borderId="0" xfId="8" applyNumberFormat="1" applyFont="1" applyAlignment="1">
      <alignment vertical="center"/>
    </xf>
    <xf numFmtId="168" fontId="23" fillId="0" borderId="0" xfId="10" applyNumberFormat="1" applyFont="1" applyAlignment="1">
      <alignment vertical="center"/>
    </xf>
    <xf numFmtId="167" fontId="34" fillId="0" borderId="6" xfId="0" applyNumberFormat="1" applyFont="1" applyFill="1" applyBorder="1" applyAlignment="1">
      <alignment horizontal="right" vertical="center"/>
    </xf>
    <xf numFmtId="165" fontId="15" fillId="0" borderId="0" xfId="8" applyNumberFormat="1" applyFont="1" applyAlignment="1">
      <alignment horizontal="right" vertical="center"/>
    </xf>
    <xf numFmtId="0" fontId="16" fillId="0" borderId="6" xfId="0" applyFont="1" applyBorder="1" applyAlignment="1">
      <alignment horizontal="left" vertical="center" indent="2"/>
    </xf>
    <xf numFmtId="0" fontId="16" fillId="0" borderId="7" xfId="0" applyFont="1" applyBorder="1" applyAlignment="1">
      <alignment horizontal="left" vertical="center" indent="2"/>
    </xf>
    <xf numFmtId="0" fontId="16" fillId="0" borderId="7" xfId="0" applyFont="1" applyBorder="1" applyAlignment="1">
      <alignment horizontal="left" vertical="center" indent="1"/>
    </xf>
    <xf numFmtId="0" fontId="14" fillId="0" borderId="0" xfId="0" applyFont="1" applyFill="1" applyAlignment="1">
      <alignment vertical="center"/>
    </xf>
    <xf numFmtId="170" fontId="14" fillId="0" borderId="0" xfId="0" applyNumberFormat="1" applyFont="1" applyFill="1" applyAlignment="1">
      <alignment vertical="center"/>
    </xf>
    <xf numFmtId="171" fontId="15" fillId="0" borderId="8" xfId="0" applyNumberFormat="1" applyFont="1" applyBorder="1" applyAlignment="1">
      <alignment horizontal="right" vertical="center"/>
    </xf>
    <xf numFmtId="0" fontId="7" fillId="0" borderId="7" xfId="0" applyFont="1" applyBorder="1" applyAlignment="1">
      <alignment horizontal="left" vertical="center" indent="1"/>
    </xf>
    <xf numFmtId="0" fontId="7" fillId="0" borderId="6" xfId="0" applyFont="1" applyBorder="1" applyAlignment="1">
      <alignment horizontal="left" vertical="center"/>
    </xf>
    <xf numFmtId="165" fontId="29" fillId="0" borderId="7" xfId="0" applyNumberFormat="1" applyFont="1" applyBorder="1" applyAlignment="1">
      <alignment horizontal="right" vertical="center"/>
    </xf>
    <xf numFmtId="165" fontId="33" fillId="0" borderId="6" xfId="0" applyNumberFormat="1" applyFont="1" applyBorder="1" applyAlignment="1">
      <alignment horizontal="right" vertical="center"/>
    </xf>
    <xf numFmtId="165" fontId="27" fillId="0" borderId="6" xfId="0" applyNumberFormat="1" applyFont="1" applyBorder="1" applyAlignment="1">
      <alignment horizontal="right" vertical="center"/>
    </xf>
    <xf numFmtId="165" fontId="33" fillId="0" borderId="7" xfId="0" applyNumberFormat="1" applyFont="1" applyBorder="1" applyAlignment="1">
      <alignment horizontal="right" vertical="center"/>
    </xf>
    <xf numFmtId="165" fontId="33" fillId="0" borderId="7" xfId="0" applyNumberFormat="1" applyFont="1" applyFill="1" applyBorder="1" applyAlignment="1">
      <alignment horizontal="right" vertical="center"/>
    </xf>
    <xf numFmtId="165" fontId="27" fillId="0" borderId="7" xfId="0" applyNumberFormat="1" applyFont="1" applyBorder="1" applyAlignment="1">
      <alignment horizontal="right" vertical="center"/>
    </xf>
    <xf numFmtId="165" fontId="33" fillId="0" borderId="0" xfId="0" applyNumberFormat="1" applyFont="1" applyAlignment="1">
      <alignment horizontal="right" vertical="center"/>
    </xf>
    <xf numFmtId="165" fontId="15" fillId="0" borderId="0" xfId="0" applyNumberFormat="1" applyFont="1" applyAlignment="1">
      <alignment horizontal="right" vertical="center"/>
    </xf>
    <xf numFmtId="165" fontId="26" fillId="2" borderId="4" xfId="0" applyNumberFormat="1" applyFont="1" applyFill="1" applyBorder="1" applyAlignment="1">
      <alignment horizontal="right" vertical="center"/>
    </xf>
    <xf numFmtId="0" fontId="33" fillId="0" borderId="6" xfId="0" applyFont="1" applyBorder="1" applyAlignment="1">
      <alignment horizontal="right" vertical="center"/>
    </xf>
    <xf numFmtId="0" fontId="33" fillId="0" borderId="7" xfId="0" applyFont="1" applyBorder="1" applyAlignment="1">
      <alignment horizontal="right" vertical="center"/>
    </xf>
    <xf numFmtId="0" fontId="33" fillId="0" borderId="0" xfId="0" applyFont="1" applyAlignment="1">
      <alignment horizontal="right" vertical="center"/>
    </xf>
    <xf numFmtId="0" fontId="26" fillId="2" borderId="4" xfId="0" applyFont="1" applyFill="1" applyBorder="1" applyAlignment="1">
      <alignment horizontal="right" vertical="center"/>
    </xf>
    <xf numFmtId="0" fontId="42" fillId="0" borderId="1" xfId="0" applyFont="1" applyBorder="1" applyAlignment="1">
      <alignment horizontal="right" vertical="center"/>
    </xf>
    <xf numFmtId="0" fontId="43" fillId="0" borderId="0" xfId="0" applyFont="1" applyAlignment="1">
      <alignment horizontal="right" vertical="center"/>
    </xf>
    <xf numFmtId="167" fontId="15" fillId="0" borderId="0" xfId="0" applyNumberFormat="1" applyFont="1" applyBorder="1" applyAlignment="1">
      <alignment horizontal="left" vertical="center"/>
    </xf>
    <xf numFmtId="167" fontId="33" fillId="0" borderId="0" xfId="0" applyNumberFormat="1" applyFont="1" applyFill="1" applyBorder="1" applyAlignment="1">
      <alignment horizontal="right" vertical="center"/>
    </xf>
    <xf numFmtId="0" fontId="14" fillId="0" borderId="0" xfId="0" applyFont="1" applyBorder="1" applyAlignment="1">
      <alignment horizontal="left" vertical="center" indent="1"/>
    </xf>
    <xf numFmtId="0" fontId="14" fillId="0" borderId="0" xfId="0" applyFont="1" applyBorder="1" applyAlignment="1">
      <alignment horizontal="left" vertical="center"/>
    </xf>
    <xf numFmtId="167" fontId="25" fillId="0" borderId="0" xfId="0" applyNumberFormat="1" applyFont="1" applyFill="1" applyBorder="1" applyAlignment="1">
      <alignment horizontal="right" vertical="center"/>
    </xf>
    <xf numFmtId="0" fontId="15" fillId="0" borderId="6" xfId="0" applyFont="1" applyBorder="1" applyAlignment="1">
      <alignment horizontal="left" vertical="center" indent="3"/>
    </xf>
    <xf numFmtId="0" fontId="16" fillId="0" borderId="6" xfId="0" applyFont="1" applyBorder="1" applyAlignment="1">
      <alignment horizontal="left" vertical="center" indent="3"/>
    </xf>
    <xf numFmtId="0" fontId="6" fillId="0" borderId="7" xfId="0" applyFont="1" applyFill="1" applyBorder="1" applyAlignment="1">
      <alignment horizontal="left" vertical="center"/>
    </xf>
    <xf numFmtId="0" fontId="5" fillId="0" borderId="0" xfId="0" applyFont="1" applyBorder="1" applyAlignment="1">
      <alignment horizontal="left" vertical="center" indent="1"/>
    </xf>
    <xf numFmtId="167" fontId="28" fillId="2" borderId="0" xfId="0" applyNumberFormat="1" applyFont="1" applyFill="1" applyAlignment="1">
      <alignment horizontal="right" vertical="center"/>
    </xf>
    <xf numFmtId="167" fontId="16" fillId="0" borderId="0" xfId="0" applyNumberFormat="1" applyFont="1" applyAlignment="1">
      <alignment horizontal="right" vertical="center"/>
    </xf>
    <xf numFmtId="0" fontId="16" fillId="0" borderId="0" xfId="0" applyFont="1" applyAlignment="1">
      <alignment horizontal="right" vertical="center"/>
    </xf>
    <xf numFmtId="0" fontId="33" fillId="0" borderId="0" xfId="0" applyFont="1" applyFill="1" applyAlignment="1">
      <alignment horizontal="right" vertical="center"/>
    </xf>
    <xf numFmtId="0" fontId="4" fillId="0" borderId="8" xfId="0" applyFont="1" applyBorder="1" applyAlignment="1">
      <alignment horizontal="left" vertical="center"/>
    </xf>
    <xf numFmtId="172" fontId="15" fillId="0" borderId="0" xfId="0" applyNumberFormat="1" applyFont="1" applyAlignment="1">
      <alignment horizontal="right" vertical="center"/>
    </xf>
    <xf numFmtId="166" fontId="15" fillId="0" borderId="0" xfId="0" applyNumberFormat="1" applyFont="1" applyAlignment="1">
      <alignment vertical="center"/>
    </xf>
    <xf numFmtId="173" fontId="15" fillId="0" borderId="0" xfId="0" applyNumberFormat="1" applyFont="1" applyAlignment="1">
      <alignment vertical="center"/>
    </xf>
    <xf numFmtId="175" fontId="15" fillId="0" borderId="0" xfId="0" applyNumberFormat="1" applyFont="1" applyAlignment="1">
      <alignment vertical="center"/>
    </xf>
    <xf numFmtId="174" fontId="15" fillId="0" borderId="0" xfId="0" applyNumberFormat="1" applyFont="1" applyAlignment="1">
      <alignment vertical="center"/>
    </xf>
    <xf numFmtId="166" fontId="25" fillId="0" borderId="0" xfId="0" applyNumberFormat="1" applyFont="1" applyAlignment="1">
      <alignment horizontal="right" vertical="center"/>
    </xf>
    <xf numFmtId="176" fontId="15" fillId="0" borderId="0" xfId="0" applyNumberFormat="1" applyFont="1" applyAlignment="1">
      <alignment vertical="center"/>
    </xf>
    <xf numFmtId="174" fontId="15" fillId="0" borderId="7" xfId="0" applyNumberFormat="1" applyFont="1" applyBorder="1" applyAlignment="1">
      <alignment horizontal="right" vertical="center"/>
    </xf>
    <xf numFmtId="0" fontId="2" fillId="0" borderId="8" xfId="0" applyFont="1" applyBorder="1" applyAlignment="1">
      <alignment vertical="center"/>
    </xf>
    <xf numFmtId="169" fontId="23" fillId="0" borderId="0" xfId="0" applyNumberFormat="1" applyFont="1" applyAlignment="1">
      <alignment vertical="center"/>
    </xf>
    <xf numFmtId="177" fontId="23" fillId="0" borderId="0" xfId="0" applyNumberFormat="1" applyFont="1" applyAlignment="1">
      <alignment vertical="center"/>
    </xf>
    <xf numFmtId="0" fontId="14" fillId="0" borderId="7" xfId="0" applyFont="1" applyFill="1" applyBorder="1" applyAlignment="1">
      <alignment horizontal="left" vertical="center" indent="1"/>
    </xf>
    <xf numFmtId="3" fontId="15" fillId="0" borderId="0" xfId="0" applyNumberFormat="1" applyFont="1" applyAlignment="1">
      <alignment vertical="center"/>
    </xf>
    <xf numFmtId="4" fontId="15" fillId="0" borderId="0" xfId="0" applyNumberFormat="1" applyFont="1" applyAlignment="1">
      <alignment vertical="center"/>
    </xf>
    <xf numFmtId="167" fontId="33" fillId="0" borderId="0" xfId="0" applyNumberFormat="1" applyFont="1" applyBorder="1" applyAlignment="1">
      <alignment horizontal="right" vertical="center"/>
    </xf>
    <xf numFmtId="167" fontId="23" fillId="2" borderId="0" xfId="0" applyNumberFormat="1" applyFont="1" applyFill="1" applyBorder="1" applyAlignment="1">
      <alignment horizontal="right" vertical="center"/>
    </xf>
    <xf numFmtId="0" fontId="23" fillId="0" borderId="0" xfId="0" applyFont="1" applyFill="1" applyBorder="1" applyAlignment="1">
      <alignment horizontal="right" vertical="center"/>
    </xf>
    <xf numFmtId="165" fontId="29" fillId="0" borderId="0" xfId="0" applyNumberFormat="1" applyFont="1" applyBorder="1" applyAlignment="1">
      <alignment horizontal="right" vertical="center"/>
    </xf>
    <xf numFmtId="9" fontId="14" fillId="0" borderId="0" xfId="8" applyFont="1" applyAlignment="1">
      <alignment vertical="center"/>
    </xf>
    <xf numFmtId="167" fontId="33" fillId="0" borderId="0" xfId="0" applyNumberFormat="1" applyFont="1" applyFill="1" applyBorder="1" applyAlignment="1">
      <alignment horizontal="right" vertical="center"/>
    </xf>
    <xf numFmtId="0" fontId="15" fillId="0" borderId="0" xfId="0" applyFont="1" applyBorder="1" applyAlignment="1">
      <alignment horizontal="left" vertical="center" indent="1"/>
    </xf>
    <xf numFmtId="176" fontId="23" fillId="0" borderId="0" xfId="0" applyNumberFormat="1" applyFont="1" applyAlignment="1">
      <alignment vertical="center"/>
    </xf>
    <xf numFmtId="167" fontId="33" fillId="0" borderId="6" xfId="0" applyNumberFormat="1" applyFont="1" applyFill="1" applyBorder="1" applyAlignment="1">
      <alignment horizontal="right" vertical="center"/>
    </xf>
    <xf numFmtId="167" fontId="27" fillId="0" borderId="6" xfId="0" applyNumberFormat="1" applyFont="1" applyFill="1" applyBorder="1" applyAlignment="1">
      <alignment horizontal="right" vertical="center"/>
    </xf>
    <xf numFmtId="0" fontId="29" fillId="0" borderId="7" xfId="0" applyFont="1" applyBorder="1" applyAlignment="1">
      <alignment horizontal="left" vertical="center" indent="3"/>
    </xf>
    <xf numFmtId="0" fontId="29" fillId="0" borderId="7" xfId="0" applyFont="1" applyBorder="1" applyAlignment="1">
      <alignment horizontal="left" vertical="center"/>
    </xf>
    <xf numFmtId="167" fontId="46" fillId="0" borderId="7" xfId="0" applyNumberFormat="1" applyFont="1" applyFill="1" applyBorder="1" applyAlignment="1">
      <alignment horizontal="right" vertical="center"/>
    </xf>
    <xf numFmtId="167" fontId="47" fillId="0" borderId="7" xfId="0" applyNumberFormat="1" applyFont="1" applyFill="1" applyBorder="1" applyAlignment="1">
      <alignment horizontal="right" vertical="center"/>
    </xf>
    <xf numFmtId="167" fontId="47" fillId="0" borderId="7" xfId="0" applyNumberFormat="1" applyFont="1" applyBorder="1" applyAlignment="1">
      <alignment horizontal="right" vertical="center"/>
    </xf>
    <xf numFmtId="167" fontId="46" fillId="0" borderId="7" xfId="0" applyNumberFormat="1" applyFont="1" applyBorder="1" applyAlignment="1">
      <alignment horizontal="right" vertical="center"/>
    </xf>
    <xf numFmtId="167" fontId="48" fillId="0" borderId="7" xfId="0" applyNumberFormat="1" applyFont="1" applyBorder="1" applyAlignment="1">
      <alignment horizontal="right" vertical="center"/>
    </xf>
    <xf numFmtId="167" fontId="48" fillId="0" borderId="7" xfId="0" applyNumberFormat="1" applyFont="1" applyFill="1" applyBorder="1" applyAlignment="1">
      <alignment horizontal="right" vertical="center"/>
    </xf>
    <xf numFmtId="173" fontId="14" fillId="0" borderId="0" xfId="0" applyNumberFormat="1" applyFont="1" applyAlignment="1">
      <alignment vertical="center"/>
    </xf>
    <xf numFmtId="49" fontId="3" fillId="0" borderId="0"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0" fontId="40" fillId="0" borderId="0" xfId="7" applyFont="1" applyAlignment="1">
      <alignment horizontal="left" vertical="center" indent="1"/>
    </xf>
    <xf numFmtId="0" fontId="15" fillId="0" borderId="0" xfId="0" applyFont="1" applyAlignment="1">
      <alignment horizontal="left" vertical="center" wrapText="1"/>
    </xf>
    <xf numFmtId="0" fontId="32" fillId="0" borderId="0" xfId="0" applyFont="1" applyAlignment="1">
      <alignment horizontal="left" vertical="center" wrapText="1"/>
    </xf>
  </cellXfs>
  <cellStyles count="11">
    <cellStyle name="Comma" xfId="10" builtinId="3"/>
    <cellStyle name="Hyperlink" xfId="7" builtinId="8"/>
    <cellStyle name="Normal" xfId="0" builtinId="0"/>
    <cellStyle name="Normal 2" xfId="1"/>
    <cellStyle name="Normal 2 2" xfId="3"/>
    <cellStyle name="Normal 3" xfId="2"/>
    <cellStyle name="Normal 4" xfId="6"/>
    <cellStyle name="Normal 5" xfId="5"/>
    <cellStyle name="Normal 6" xfId="4"/>
    <cellStyle name="Normal 7" xfId="9"/>
    <cellStyle name="Percent" xfId="8" builtinId="5"/>
  </cellStyles>
  <dxfs count="0"/>
  <tableStyles count="0" defaultTableStyle="TableStyleMedium2" defaultPivotStyle="PivotStyleLight16"/>
  <colors>
    <mruColors>
      <color rgb="FFFFDD00"/>
      <color rgb="FFE2252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10</xdr:col>
      <xdr:colOff>527850</xdr:colOff>
      <xdr:row>9</xdr:row>
      <xdr:rowOff>163093</xdr:rowOff>
    </xdr:to>
    <xdr:pic>
      <xdr:nvPicPr>
        <xdr:cNvPr id="3" name="irc_mi" descr="Risultati immagini per pirell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5725"/>
          <a:ext cx="6300000" cy="1648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DD00"/>
    <pageSetUpPr fitToPage="1"/>
  </sheetPr>
  <dimension ref="B4:O46"/>
  <sheetViews>
    <sheetView showGridLines="0" tabSelected="1" zoomScaleNormal="100" zoomScaleSheetLayoutView="100" workbookViewId="0"/>
  </sheetViews>
  <sheetFormatPr defaultColWidth="9" defaultRowHeight="12.5" x14ac:dyDescent="0.3"/>
  <cols>
    <col min="1" max="1" width="4.58203125" style="2" customWidth="1"/>
    <col min="2" max="11" width="8.58203125" style="2" customWidth="1"/>
    <col min="12" max="12" width="4.58203125" style="2" customWidth="1"/>
    <col min="13" max="13" width="8.58203125" style="2" customWidth="1"/>
    <col min="14" max="16384" width="9" style="2"/>
  </cols>
  <sheetData>
    <row r="4" spans="2:15" ht="14" x14ac:dyDescent="0.3">
      <c r="O4"/>
    </row>
    <row r="5" spans="2:15" ht="14" x14ac:dyDescent="0.3">
      <c r="O5"/>
    </row>
    <row r="6" spans="2:15" ht="14" x14ac:dyDescent="0.3">
      <c r="O6"/>
    </row>
    <row r="7" spans="2:15" ht="14" x14ac:dyDescent="0.3">
      <c r="O7"/>
    </row>
    <row r="8" spans="2:15" ht="14" x14ac:dyDescent="0.3">
      <c r="O8"/>
    </row>
    <row r="9" spans="2:15" ht="14" x14ac:dyDescent="0.3">
      <c r="O9"/>
    </row>
    <row r="10" spans="2:15" ht="14" x14ac:dyDescent="0.3">
      <c r="O10"/>
    </row>
    <row r="11" spans="2:15" ht="14" x14ac:dyDescent="0.3">
      <c r="O11"/>
    </row>
    <row r="12" spans="2:15" ht="14" x14ac:dyDescent="0.3">
      <c r="O12"/>
    </row>
    <row r="13" spans="2:15" ht="25" x14ac:dyDescent="0.3">
      <c r="B13" s="1" t="s">
        <v>352</v>
      </c>
      <c r="N13"/>
    </row>
    <row r="14" spans="2:15" ht="14" x14ac:dyDescent="0.3">
      <c r="B14" s="2" t="s">
        <v>351</v>
      </c>
      <c r="N14"/>
    </row>
    <row r="15" spans="2:15" ht="14" x14ac:dyDescent="0.3">
      <c r="N15"/>
    </row>
    <row r="16" spans="2:15" ht="14" x14ac:dyDescent="0.3">
      <c r="N16"/>
    </row>
    <row r="17" spans="2:14" ht="14" x14ac:dyDescent="0.3">
      <c r="B17" s="3" t="s">
        <v>151</v>
      </c>
      <c r="C17" s="3"/>
      <c r="D17" s="3"/>
      <c r="E17" s="3"/>
      <c r="N17"/>
    </row>
    <row r="18" spans="2:14" ht="14" x14ac:dyDescent="0.3">
      <c r="B18" s="258" t="s">
        <v>228</v>
      </c>
      <c r="C18" s="258"/>
      <c r="D18" s="258"/>
      <c r="E18" s="258"/>
      <c r="N18"/>
    </row>
    <row r="19" spans="2:14" ht="14" x14ac:dyDescent="0.3">
      <c r="B19" s="258" t="s">
        <v>229</v>
      </c>
      <c r="C19" s="258"/>
      <c r="D19" s="258"/>
      <c r="E19" s="258"/>
      <c r="N19"/>
    </row>
    <row r="20" spans="2:14" ht="14" x14ac:dyDescent="0.3">
      <c r="B20" s="4"/>
      <c r="N20"/>
    </row>
    <row r="21" spans="2:14" ht="14" x14ac:dyDescent="0.3">
      <c r="B21" s="3" t="s">
        <v>152</v>
      </c>
    </row>
    <row r="22" spans="2:14" x14ac:dyDescent="0.3">
      <c r="B22" s="258" t="s">
        <v>228</v>
      </c>
      <c r="C22" s="258"/>
      <c r="D22" s="258"/>
      <c r="E22" s="258"/>
    </row>
    <row r="23" spans="2:14" x14ac:dyDescent="0.3">
      <c r="B23" s="258" t="s">
        <v>229</v>
      </c>
      <c r="C23" s="258"/>
      <c r="D23" s="258"/>
      <c r="E23" s="258"/>
    </row>
    <row r="24" spans="2:14" x14ac:dyDescent="0.3">
      <c r="B24" s="4"/>
    </row>
    <row r="25" spans="2:14" ht="14" x14ac:dyDescent="0.3">
      <c r="B25" s="3" t="s">
        <v>153</v>
      </c>
    </row>
    <row r="26" spans="2:14" x14ac:dyDescent="0.3">
      <c r="B26" s="258" t="s">
        <v>228</v>
      </c>
      <c r="C26" s="258"/>
      <c r="D26" s="258"/>
      <c r="E26" s="258"/>
    </row>
    <row r="27" spans="2:14" x14ac:dyDescent="0.3">
      <c r="B27" s="258" t="s">
        <v>229</v>
      </c>
      <c r="C27" s="258"/>
      <c r="D27" s="258"/>
      <c r="E27" s="258"/>
    </row>
    <row r="28" spans="2:14" x14ac:dyDescent="0.3">
      <c r="B28" s="4"/>
    </row>
    <row r="29" spans="2:14" ht="14" x14ac:dyDescent="0.3">
      <c r="B29" s="3" t="s">
        <v>154</v>
      </c>
    </row>
    <row r="30" spans="2:14" x14ac:dyDescent="0.3">
      <c r="B30" s="258" t="s">
        <v>228</v>
      </c>
      <c r="C30" s="258"/>
      <c r="D30" s="258"/>
      <c r="E30" s="258"/>
    </row>
    <row r="31" spans="2:14" x14ac:dyDescent="0.3">
      <c r="B31" s="258" t="s">
        <v>229</v>
      </c>
      <c r="C31" s="258"/>
      <c r="D31" s="258"/>
      <c r="E31" s="258"/>
    </row>
    <row r="32" spans="2:14" x14ac:dyDescent="0.3">
      <c r="B32" s="4"/>
    </row>
    <row r="33" spans="2:12" ht="14" x14ac:dyDescent="0.3">
      <c r="B33" s="3" t="s">
        <v>155</v>
      </c>
    </row>
    <row r="34" spans="2:12" x14ac:dyDescent="0.3">
      <c r="B34" s="258" t="s">
        <v>228</v>
      </c>
      <c r="C34" s="258"/>
      <c r="D34" s="258"/>
      <c r="E34" s="258"/>
    </row>
    <row r="35" spans="2:12" x14ac:dyDescent="0.3">
      <c r="B35" s="258" t="s">
        <v>229</v>
      </c>
      <c r="C35" s="258"/>
      <c r="D35" s="258"/>
      <c r="E35" s="258"/>
    </row>
    <row r="37" spans="2:12" ht="14" x14ac:dyDescent="0.3">
      <c r="B37" s="5" t="s">
        <v>156</v>
      </c>
    </row>
    <row r="38" spans="2:12" x14ac:dyDescent="0.3">
      <c r="B38" s="8" t="s">
        <v>157</v>
      </c>
    </row>
    <row r="39" spans="2:12" x14ac:dyDescent="0.3">
      <c r="B39" s="6" t="s">
        <v>158</v>
      </c>
    </row>
    <row r="40" spans="2:12" x14ac:dyDescent="0.3">
      <c r="B40" s="7" t="s">
        <v>159</v>
      </c>
    </row>
    <row r="43" spans="2:12" ht="15.5" x14ac:dyDescent="0.3">
      <c r="B43" s="164" t="s">
        <v>190</v>
      </c>
    </row>
    <row r="44" spans="2:12" ht="25.5" customHeight="1" x14ac:dyDescent="0.3">
      <c r="B44" s="259" t="s">
        <v>341</v>
      </c>
      <c r="C44" s="259"/>
      <c r="D44" s="259"/>
      <c r="E44" s="259"/>
      <c r="F44" s="259"/>
      <c r="G44" s="259"/>
      <c r="H44" s="259"/>
      <c r="I44" s="259"/>
      <c r="J44" s="259"/>
      <c r="K44" s="259"/>
      <c r="L44" s="259"/>
    </row>
    <row r="45" spans="2:12" ht="38.25" customHeight="1" x14ac:dyDescent="0.3">
      <c r="B45" s="257" t="s">
        <v>200</v>
      </c>
      <c r="C45" s="257"/>
      <c r="D45" s="257"/>
      <c r="E45" s="257"/>
      <c r="F45" s="257"/>
      <c r="G45" s="257"/>
      <c r="H45" s="257"/>
      <c r="I45" s="257"/>
      <c r="J45" s="257"/>
      <c r="K45" s="257"/>
      <c r="L45" s="257"/>
    </row>
    <row r="46" spans="2:12" ht="153" customHeight="1" x14ac:dyDescent="0.3">
      <c r="B46" s="256" t="s">
        <v>312</v>
      </c>
      <c r="C46" s="257"/>
      <c r="D46" s="257"/>
      <c r="E46" s="257"/>
      <c r="F46" s="257"/>
      <c r="G46" s="257"/>
      <c r="H46" s="257"/>
      <c r="I46" s="257"/>
      <c r="J46" s="257"/>
      <c r="K46" s="257"/>
      <c r="L46" s="257"/>
    </row>
  </sheetData>
  <mergeCells count="13">
    <mergeCell ref="B46:L46"/>
    <mergeCell ref="B18:E18"/>
    <mergeCell ref="B19:E19"/>
    <mergeCell ref="B22:E22"/>
    <mergeCell ref="B23:E23"/>
    <mergeCell ref="B26:E26"/>
    <mergeCell ref="B27:E27"/>
    <mergeCell ref="B30:E30"/>
    <mergeCell ref="B31:E31"/>
    <mergeCell ref="B34:E34"/>
    <mergeCell ref="B35:E35"/>
    <mergeCell ref="B44:L44"/>
    <mergeCell ref="B45:L45"/>
  </mergeCells>
  <hyperlinks>
    <hyperlink ref="B18:E18" location="'Fin. Highlights - FY'!A1" display="Full year figures"/>
    <hyperlink ref="B19:E19" location="'Fin. Highlights - interim'!A1" display="Year-to-Date reported figures"/>
    <hyperlink ref="B22:E22" location="'Adj. Rev. detail - FY'!A1" display="Full year figures"/>
    <hyperlink ref="B23:E23" location="'Adj. Rev. detail - Interim'!A1" display="Year-to-Date reported figures"/>
    <hyperlink ref="B26:E26" location="'Adj. EBIT bridge - FY'!A1" display="Full year carve-out figures"/>
    <hyperlink ref="B27:E27" location="'Adj. EBIT bridge - Interim'!A1" display="Year-to-Date reported figures"/>
    <hyperlink ref="B31" location="'Balance Sheet - Interim'!A1" display="Interim figures"/>
    <hyperlink ref="B34" location="'Cash Flow - FY'!A1" display="Full year figures"/>
    <hyperlink ref="B35" location="'Cash Flow - Interim'!A1" display="Interim figures"/>
    <hyperlink ref="B30:E30" location="'Balance Sheet - FY'!A1" display="Full year figures"/>
  </hyperlinks>
  <pageMargins left="0" right="0" top="0" bottom="0" header="0" footer="0"/>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M121"/>
  <sheetViews>
    <sheetView showGridLines="0" zoomScale="90" zoomScaleNormal="90" zoomScaleSheetLayoutView="100" workbookViewId="0">
      <pane xSplit="2" ySplit="6" topLeftCell="C7" activePane="bottomRight" state="frozen"/>
      <selection activeCell="L10" sqref="L10"/>
      <selection pane="topRight" activeCell="L10" sqref="L10"/>
      <selection pane="bottomLeft" activeCell="L10" sqref="L10"/>
      <selection pane="bottomRight"/>
    </sheetView>
  </sheetViews>
  <sheetFormatPr defaultColWidth="9" defaultRowHeight="12.5" outlineLevelRow="3" outlineLevelCol="1" x14ac:dyDescent="0.3"/>
  <cols>
    <col min="1" max="1" width="75.58203125" style="134" customWidth="1"/>
    <col min="2" max="2" width="4.58203125" style="134" customWidth="1"/>
    <col min="3" max="3" width="11.58203125" style="133" hidden="1" customWidth="1" outlineLevel="1"/>
    <col min="4" max="4" width="11.58203125" style="133" customWidth="1" collapsed="1"/>
    <col min="5" max="10" width="11.58203125" style="133" customWidth="1"/>
    <col min="11" max="11" width="2.58203125" style="134" customWidth="1"/>
    <col min="12" max="12" width="17.83203125" style="134" bestFit="1" customWidth="1"/>
    <col min="13" max="16384" width="9" style="134"/>
  </cols>
  <sheetData>
    <row r="1" spans="1:12" s="9" customFormat="1" ht="27.75" customHeight="1" x14ac:dyDescent="0.3">
      <c r="A1" s="9" t="s">
        <v>145</v>
      </c>
      <c r="C1" s="10"/>
      <c r="D1" s="10"/>
      <c r="E1" s="10"/>
      <c r="F1" s="10"/>
      <c r="G1" s="10"/>
      <c r="H1" s="10"/>
      <c r="I1" s="10"/>
      <c r="J1" s="10"/>
    </row>
    <row r="2" spans="1:12" x14ac:dyDescent="0.3">
      <c r="A2" s="33" t="s">
        <v>192</v>
      </c>
      <c r="B2" s="11"/>
    </row>
    <row r="4" spans="1:12" ht="13.5" thickBot="1" x14ac:dyDescent="0.35">
      <c r="A4" s="12" t="s">
        <v>150</v>
      </c>
      <c r="B4" s="12"/>
      <c r="C4" s="14"/>
      <c r="D4" s="14" t="s">
        <v>25</v>
      </c>
      <c r="E4" s="14" t="s">
        <v>26</v>
      </c>
      <c r="F4" s="14" t="s">
        <v>26</v>
      </c>
      <c r="G4" s="14" t="s">
        <v>162</v>
      </c>
      <c r="H4" s="14" t="s">
        <v>265</v>
      </c>
      <c r="I4" s="14" t="s">
        <v>309</v>
      </c>
      <c r="J4" s="14" t="s">
        <v>338</v>
      </c>
    </row>
    <row r="5" spans="1:12" x14ac:dyDescent="0.3">
      <c r="D5" s="133" t="s">
        <v>178</v>
      </c>
      <c r="E5" s="133" t="s">
        <v>178</v>
      </c>
      <c r="F5" s="41" t="s">
        <v>191</v>
      </c>
      <c r="G5" s="133" t="s">
        <v>177</v>
      </c>
      <c r="H5" s="133" t="s">
        <v>177</v>
      </c>
      <c r="I5" s="133" t="s">
        <v>177</v>
      </c>
      <c r="J5" s="133" t="s">
        <v>177</v>
      </c>
    </row>
    <row r="7" spans="1:12" x14ac:dyDescent="0.3">
      <c r="A7" s="192" t="s">
        <v>233</v>
      </c>
      <c r="B7" s="137"/>
      <c r="C7" s="78"/>
      <c r="D7" s="78">
        <f>ROUND('Fin. Highlights - FY'!D14,1)</f>
        <v>1021.4</v>
      </c>
      <c r="E7" s="78">
        <f>ROUND('Fin. Highlights - FY'!E14,1)</f>
        <v>1082.3</v>
      </c>
      <c r="F7" s="78">
        <f>ROUND('Fin. Highlights - FY'!F14,1)</f>
        <v>1082.3</v>
      </c>
      <c r="G7" s="78">
        <f>ROUND('Fin. Highlights - FY'!G14,1)</f>
        <v>1137.7</v>
      </c>
      <c r="H7" s="78">
        <f>ROUND('Fin. Highlights - FY'!H14,1)</f>
        <v>1234.7</v>
      </c>
      <c r="I7" s="78">
        <f>ROUND('Fin. Highlights - FY'!I14-0.05,1)</f>
        <v>1310</v>
      </c>
      <c r="J7" s="77">
        <f>ROUND('Fin. Highlights - FY'!J14,2)</f>
        <v>892.63</v>
      </c>
    </row>
    <row r="8" spans="1:12" x14ac:dyDescent="0.3">
      <c r="A8" s="138" t="s">
        <v>35</v>
      </c>
      <c r="B8" s="137"/>
      <c r="C8" s="78"/>
      <c r="D8" s="71">
        <v>-349.5</v>
      </c>
      <c r="E8" s="71">
        <v>-340.4</v>
      </c>
      <c r="F8" s="71">
        <v>-342.3</v>
      </c>
      <c r="G8" s="84">
        <f>IFERROR(G77+G82,"n.a.")</f>
        <v>-489.35199999999998</v>
      </c>
      <c r="H8" s="84">
        <f>IFERROR(H77+H82,"n.a.")</f>
        <v>-463.44099999999997</v>
      </c>
      <c r="I8" s="84">
        <f>IFERROR(I77+I82,"n.a.")</f>
        <v>-390.51100000000002</v>
      </c>
      <c r="J8" s="84">
        <f>IFERROR(J77+J82,"n.a.")</f>
        <v>-140.035</v>
      </c>
      <c r="L8" s="241"/>
    </row>
    <row r="9" spans="1:12" x14ac:dyDescent="0.3">
      <c r="A9" s="138" t="s">
        <v>323</v>
      </c>
      <c r="B9" s="137"/>
      <c r="C9" s="78"/>
      <c r="D9" s="71">
        <v>0</v>
      </c>
      <c r="E9" s="71">
        <v>0</v>
      </c>
      <c r="F9" s="71">
        <v>0</v>
      </c>
      <c r="G9" s="71">
        <v>0</v>
      </c>
      <c r="H9" s="71">
        <v>0</v>
      </c>
      <c r="I9" s="71">
        <v>-51.2</v>
      </c>
      <c r="J9" s="71">
        <v>-68.5</v>
      </c>
    </row>
    <row r="10" spans="1:12" x14ac:dyDescent="0.3">
      <c r="A10" s="138" t="s">
        <v>179</v>
      </c>
      <c r="B10" s="137"/>
      <c r="C10" s="89"/>
      <c r="D10" s="71">
        <v>-105.56599999999999</v>
      </c>
      <c r="E10" s="71">
        <v>89.315999999999988</v>
      </c>
      <c r="F10" s="71">
        <v>31.5</v>
      </c>
      <c r="G10" s="71">
        <v>123.8</v>
      </c>
      <c r="H10" s="71">
        <v>-388.2</v>
      </c>
      <c r="I10" s="71">
        <v>-60.800000000000004</v>
      </c>
      <c r="J10" s="71">
        <v>-92.8</v>
      </c>
    </row>
    <row r="11" spans="1:12" ht="13" x14ac:dyDescent="0.3">
      <c r="A11" s="42" t="s">
        <v>160</v>
      </c>
      <c r="B11" s="42"/>
      <c r="C11" s="122"/>
      <c r="D11" s="122">
        <f t="shared" ref="D11:H11" si="0">IFERROR(D7+D8+D9+D10,"n.a")</f>
        <v>566.33399999999995</v>
      </c>
      <c r="E11" s="122">
        <f t="shared" si="0"/>
        <v>831.21600000000001</v>
      </c>
      <c r="F11" s="122">
        <f t="shared" si="0"/>
        <v>771.5</v>
      </c>
      <c r="G11" s="122">
        <f t="shared" si="0"/>
        <v>772.14800000000002</v>
      </c>
      <c r="H11" s="122">
        <f t="shared" si="0"/>
        <v>383.05900000000003</v>
      </c>
      <c r="I11" s="122">
        <f>IFERROR(I7+I8+I9+I10,"n.a")</f>
        <v>807.48900000000003</v>
      </c>
      <c r="J11" s="122">
        <f>IFERROR(J7+J8+J9+J10,"n.a")</f>
        <v>591.29500000000007</v>
      </c>
    </row>
    <row r="12" spans="1:12" x14ac:dyDescent="0.3">
      <c r="A12" s="138" t="s">
        <v>19</v>
      </c>
      <c r="B12" s="137"/>
      <c r="C12" s="71"/>
      <c r="D12" s="83">
        <f t="shared" ref="D12:J12" si="1">D65</f>
        <v>-170.755</v>
      </c>
      <c r="E12" s="83">
        <f t="shared" si="1"/>
        <v>-75.256</v>
      </c>
      <c r="F12" s="83">
        <f>F65+0.05</f>
        <v>-104.40600000000001</v>
      </c>
      <c r="G12" s="83">
        <f t="shared" si="1"/>
        <v>-135.5</v>
      </c>
      <c r="H12" s="83">
        <f t="shared" si="1"/>
        <v>-119.042</v>
      </c>
      <c r="I12" s="83">
        <f t="shared" si="1"/>
        <v>-141.98500000000001</v>
      </c>
      <c r="J12" s="83">
        <f t="shared" si="1"/>
        <v>-90.691999999999993</v>
      </c>
    </row>
    <row r="13" spans="1:12" x14ac:dyDescent="0.3">
      <c r="A13" s="138" t="s">
        <v>123</v>
      </c>
      <c r="B13" s="137"/>
      <c r="C13" s="71"/>
      <c r="D13" s="71">
        <v>-284.5</v>
      </c>
      <c r="E13" s="71">
        <v>-427.3</v>
      </c>
      <c r="F13" s="83">
        <f t="shared" ref="F13:H13" si="2">IFERROR(-F56,"n.a.")</f>
        <v>-427.19</v>
      </c>
      <c r="G13" s="83">
        <f t="shared" si="2"/>
        <v>-362.61</v>
      </c>
      <c r="H13" s="83">
        <f t="shared" si="2"/>
        <v>-196.31100000000001</v>
      </c>
      <c r="I13" s="83">
        <f>IFERROR(-I56+0.1,"n.a.")</f>
        <v>-109.37900000000002</v>
      </c>
      <c r="J13" s="83">
        <f>IFERROR(-J56+0.1,"n.a.")</f>
        <v>-156.40200000000002</v>
      </c>
    </row>
    <row r="14" spans="1:12" x14ac:dyDescent="0.3">
      <c r="A14" s="138" t="s">
        <v>124</v>
      </c>
      <c r="B14" s="137"/>
      <c r="C14" s="71"/>
      <c r="D14" s="71">
        <v>86.5</v>
      </c>
      <c r="E14" s="71">
        <v>-48.8</v>
      </c>
      <c r="F14" s="71">
        <v>96.4</v>
      </c>
      <c r="G14" s="71">
        <v>-84</v>
      </c>
      <c r="H14" s="71">
        <v>-154.80000000000001</v>
      </c>
      <c r="I14" s="71">
        <v>-194.6</v>
      </c>
      <c r="J14" s="71">
        <v>-102.9</v>
      </c>
    </row>
    <row r="15" spans="1:12" s="25" customFormat="1" ht="13" x14ac:dyDescent="0.3">
      <c r="A15" s="42" t="s">
        <v>343</v>
      </c>
      <c r="B15" s="42"/>
      <c r="C15" s="122"/>
      <c r="D15" s="122">
        <f>IFERROR(D11+D12+D13+D14,"n.a")</f>
        <v>197.57899999999995</v>
      </c>
      <c r="E15" s="122">
        <f t="shared" ref="E15:J15" si="3">IFERROR(E11+E12+E13+E14,"n.a")</f>
        <v>279.86</v>
      </c>
      <c r="F15" s="122">
        <f t="shared" si="3"/>
        <v>336.30400000000009</v>
      </c>
      <c r="G15" s="122">
        <f t="shared" si="3"/>
        <v>190.03800000000001</v>
      </c>
      <c r="H15" s="122">
        <f>IFERROR(H11+H12+H13+H14+0.05,"n.a")</f>
        <v>-87.043999999999969</v>
      </c>
      <c r="I15" s="122">
        <f t="shared" si="3"/>
        <v>361.52499999999998</v>
      </c>
      <c r="J15" s="122">
        <f t="shared" si="3"/>
        <v>241.30100000000002</v>
      </c>
    </row>
    <row r="16" spans="1:12" x14ac:dyDescent="0.3">
      <c r="A16" s="32" t="s">
        <v>322</v>
      </c>
      <c r="B16" s="137"/>
      <c r="C16" s="71"/>
      <c r="D16" s="71">
        <v>0</v>
      </c>
      <c r="E16" s="71">
        <v>0</v>
      </c>
      <c r="F16" s="71">
        <v>0</v>
      </c>
      <c r="G16" s="71">
        <f>25.7-15.4</f>
        <v>10.299999999999999</v>
      </c>
      <c r="H16" s="71">
        <f>155.2-18.5-1.4</f>
        <v>135.29999999999998</v>
      </c>
      <c r="I16" s="71">
        <f>-17-0.4</f>
        <v>-17.399999999999999</v>
      </c>
      <c r="J16" s="71">
        <v>0</v>
      </c>
    </row>
    <row r="17" spans="1:12" x14ac:dyDescent="0.3">
      <c r="A17" s="243" t="s">
        <v>344</v>
      </c>
      <c r="B17" s="212"/>
      <c r="C17" s="242"/>
      <c r="D17" s="242">
        <v>0</v>
      </c>
      <c r="E17" s="242">
        <v>0</v>
      </c>
      <c r="F17" s="242">
        <v>0</v>
      </c>
      <c r="G17" s="242">
        <v>0</v>
      </c>
      <c r="H17" s="242">
        <v>0</v>
      </c>
      <c r="I17" s="242">
        <v>0</v>
      </c>
      <c r="J17" s="242">
        <v>-33.700000000000003</v>
      </c>
    </row>
    <row r="18" spans="1:12" s="25" customFormat="1" ht="13" x14ac:dyDescent="0.3">
      <c r="A18" s="42" t="s">
        <v>345</v>
      </c>
      <c r="B18" s="42"/>
      <c r="C18" s="122"/>
      <c r="D18" s="122">
        <f>IFERROR(D15+D16+D17,"n.a")</f>
        <v>197.57899999999995</v>
      </c>
      <c r="E18" s="122">
        <f t="shared" ref="E18:J18" si="4">IFERROR(E15+E16+E17,"n.a")</f>
        <v>279.86</v>
      </c>
      <c r="F18" s="122">
        <f t="shared" si="4"/>
        <v>336.30400000000009</v>
      </c>
      <c r="G18" s="122">
        <f t="shared" si="4"/>
        <v>200.33800000000002</v>
      </c>
      <c r="H18" s="122">
        <f t="shared" si="4"/>
        <v>48.256000000000014</v>
      </c>
      <c r="I18" s="122">
        <f t="shared" si="4"/>
        <v>344.125</v>
      </c>
      <c r="J18" s="122">
        <f t="shared" si="4"/>
        <v>207.601</v>
      </c>
    </row>
    <row r="19" spans="1:12" ht="13" x14ac:dyDescent="0.3">
      <c r="C19" s="139"/>
      <c r="D19" s="139"/>
      <c r="E19" s="139"/>
      <c r="F19" s="139"/>
      <c r="G19" s="139"/>
      <c r="H19" s="139"/>
      <c r="I19" s="139"/>
      <c r="J19" s="139"/>
      <c r="K19" s="25"/>
      <c r="L19" s="25"/>
    </row>
    <row r="20" spans="1:12" ht="13" x14ac:dyDescent="0.3">
      <c r="C20" s="139"/>
      <c r="D20" s="139"/>
      <c r="E20" s="139"/>
      <c r="F20" s="139"/>
      <c r="G20" s="139"/>
      <c r="H20" s="139"/>
      <c r="I20" s="139"/>
      <c r="J20" s="139"/>
      <c r="K20" s="25"/>
      <c r="L20" s="25"/>
    </row>
    <row r="21" spans="1:12" ht="12.75" hidden="1" customHeight="1" outlineLevel="3" x14ac:dyDescent="0.3">
      <c r="A21" s="142"/>
      <c r="B21" s="137"/>
      <c r="C21" s="78"/>
      <c r="D21" s="78"/>
      <c r="E21" s="78"/>
      <c r="F21" s="78"/>
      <c r="G21" s="78"/>
      <c r="H21" s="78"/>
      <c r="I21" s="78"/>
      <c r="J21" s="78"/>
    </row>
    <row r="22" spans="1:12" ht="12.75" hidden="1" customHeight="1" outlineLevel="3" x14ac:dyDescent="0.3">
      <c r="A22" s="142"/>
      <c r="B22" s="137"/>
      <c r="C22" s="78"/>
      <c r="D22" s="78"/>
      <c r="E22" s="78"/>
      <c r="F22" s="78"/>
      <c r="G22" s="78"/>
      <c r="H22" s="78"/>
      <c r="I22" s="78"/>
      <c r="J22" s="78"/>
    </row>
    <row r="23" spans="1:12" ht="12.75" hidden="1" customHeight="1" outlineLevel="3" x14ac:dyDescent="0.3">
      <c r="A23" s="142"/>
      <c r="B23" s="137"/>
      <c r="C23" s="78"/>
      <c r="D23" s="78"/>
      <c r="E23" s="78"/>
      <c r="F23" s="78"/>
      <c r="G23" s="78"/>
      <c r="H23" s="78"/>
      <c r="I23" s="78"/>
      <c r="J23" s="78"/>
    </row>
    <row r="24" spans="1:12" ht="12.75" hidden="1" customHeight="1" outlineLevel="3" x14ac:dyDescent="0.3">
      <c r="A24" s="142"/>
      <c r="B24" s="137"/>
      <c r="C24" s="78"/>
      <c r="D24" s="78"/>
      <c r="E24" s="78"/>
      <c r="F24" s="78"/>
      <c r="G24" s="78"/>
      <c r="H24" s="78"/>
      <c r="I24" s="78"/>
      <c r="J24" s="78"/>
    </row>
    <row r="25" spans="1:12" ht="12.75" hidden="1" customHeight="1" outlineLevel="3" x14ac:dyDescent="0.3">
      <c r="A25" s="142"/>
      <c r="B25" s="137"/>
      <c r="C25" s="78"/>
      <c r="D25" s="78"/>
      <c r="E25" s="78"/>
      <c r="F25" s="78"/>
      <c r="G25" s="78"/>
      <c r="H25" s="78"/>
      <c r="I25" s="78"/>
      <c r="J25" s="78"/>
    </row>
    <row r="26" spans="1:12" ht="13" collapsed="1" x14ac:dyDescent="0.3">
      <c r="A26" s="124" t="s">
        <v>199</v>
      </c>
      <c r="B26" s="124"/>
      <c r="C26" s="140"/>
      <c r="D26" s="155">
        <f>ROUND('Balance Sheet - FY'!C36,1)</f>
        <v>1038</v>
      </c>
      <c r="E26" s="155">
        <f>ROUND('Balance Sheet - FY'!D36,1)</f>
        <v>1240.5</v>
      </c>
      <c r="F26" s="184">
        <v>5331</v>
      </c>
      <c r="G26" s="155">
        <f>ROUND('Balance Sheet - FY'!F36,1)</f>
        <v>4912.8</v>
      </c>
      <c r="H26" s="155">
        <f>ROUND('Balance Sheet - FY'!G36,1)</f>
        <v>3218.5</v>
      </c>
      <c r="I26" s="155">
        <f>ROUND('Balance Sheet - FY'!H36,1)</f>
        <v>3180.1</v>
      </c>
      <c r="J26" s="155">
        <f>ROUND('Balance Sheet - FY'!I40,1)</f>
        <v>3507.2</v>
      </c>
      <c r="K26" s="25"/>
      <c r="L26" s="25"/>
    </row>
    <row r="27" spans="1:12" x14ac:dyDescent="0.3">
      <c r="A27" s="138" t="str">
        <f>A18</f>
        <v>Net Cash Flow before dividends &amp; convertible bond impact</v>
      </c>
      <c r="B27" s="137"/>
      <c r="C27" s="141"/>
      <c r="D27" s="141">
        <f t="shared" ref="D27:J27" si="5">IFERROR(-D18,"n.a.")</f>
        <v>-197.57899999999995</v>
      </c>
      <c r="E27" s="141">
        <f t="shared" si="5"/>
        <v>-279.86</v>
      </c>
      <c r="F27" s="141">
        <f t="shared" si="5"/>
        <v>-336.30400000000009</v>
      </c>
      <c r="G27" s="141">
        <f t="shared" si="5"/>
        <v>-200.33800000000002</v>
      </c>
      <c r="H27" s="141">
        <f t="shared" si="5"/>
        <v>-48.256000000000014</v>
      </c>
      <c r="I27" s="141">
        <f t="shared" si="5"/>
        <v>-344.125</v>
      </c>
      <c r="J27" s="141">
        <f t="shared" si="5"/>
        <v>-207.601</v>
      </c>
    </row>
    <row r="28" spans="1:12" x14ac:dyDescent="0.3">
      <c r="A28" s="138" t="s">
        <v>18</v>
      </c>
      <c r="B28" s="137"/>
      <c r="C28" s="71"/>
      <c r="D28" s="71">
        <v>277.7</v>
      </c>
      <c r="E28" s="71">
        <v>0</v>
      </c>
      <c r="F28" s="71">
        <v>0</v>
      </c>
      <c r="G28" s="71">
        <v>0</v>
      </c>
      <c r="H28" s="71">
        <v>0</v>
      </c>
      <c r="I28" s="71">
        <v>0</v>
      </c>
      <c r="J28" s="71">
        <v>0</v>
      </c>
    </row>
    <row r="29" spans="1:12" x14ac:dyDescent="0.3">
      <c r="A29" s="138" t="s">
        <v>125</v>
      </c>
      <c r="B29" s="137"/>
      <c r="C29" s="71"/>
      <c r="D29" s="71">
        <v>-45.6</v>
      </c>
      <c r="E29" s="71">
        <v>0</v>
      </c>
      <c r="F29" s="71">
        <v>0</v>
      </c>
      <c r="G29" s="71">
        <v>0</v>
      </c>
      <c r="H29" s="71">
        <v>0</v>
      </c>
      <c r="I29" s="71">
        <v>0</v>
      </c>
      <c r="J29" s="71">
        <v>0</v>
      </c>
    </row>
    <row r="30" spans="1:12" x14ac:dyDescent="0.3">
      <c r="A30" s="138" t="s">
        <v>346</v>
      </c>
      <c r="B30" s="137"/>
      <c r="C30" s="71"/>
      <c r="D30" s="71">
        <v>0</v>
      </c>
      <c r="E30" s="71">
        <v>0</v>
      </c>
      <c r="F30" s="71">
        <v>0</v>
      </c>
      <c r="G30" s="71">
        <v>0</v>
      </c>
      <c r="H30" s="71">
        <v>0</v>
      </c>
      <c r="I30" s="71">
        <v>0</v>
      </c>
      <c r="J30" s="71">
        <v>-41.2</v>
      </c>
    </row>
    <row r="31" spans="1:12" x14ac:dyDescent="0.3">
      <c r="A31" s="138" t="s">
        <v>126</v>
      </c>
      <c r="B31" s="137"/>
      <c r="C31" s="71"/>
      <c r="D31" s="71">
        <v>168</v>
      </c>
      <c r="E31" s="71">
        <v>0</v>
      </c>
      <c r="F31" s="71">
        <v>0</v>
      </c>
      <c r="G31" s="71">
        <v>0</v>
      </c>
      <c r="H31" s="71">
        <v>0</v>
      </c>
      <c r="I31" s="71">
        <v>176.9</v>
      </c>
      <c r="J31" s="71">
        <v>0</v>
      </c>
    </row>
    <row r="32" spans="1:12" x14ac:dyDescent="0.3">
      <c r="A32" s="138" t="s">
        <v>181</v>
      </c>
      <c r="B32" s="137"/>
      <c r="C32" s="71"/>
      <c r="D32" s="71">
        <v>0</v>
      </c>
      <c r="E32" s="71">
        <v>0</v>
      </c>
      <c r="F32" s="71">
        <v>33.9</v>
      </c>
      <c r="G32" s="71">
        <v>0</v>
      </c>
      <c r="H32" s="71">
        <v>0</v>
      </c>
      <c r="I32" s="71">
        <v>0</v>
      </c>
      <c r="J32" s="71">
        <v>0</v>
      </c>
    </row>
    <row r="33" spans="1:10" x14ac:dyDescent="0.3">
      <c r="A33" s="138" t="s">
        <v>182</v>
      </c>
      <c r="B33" s="137"/>
      <c r="C33" s="71"/>
      <c r="D33" s="71">
        <v>0</v>
      </c>
      <c r="E33" s="71">
        <v>0</v>
      </c>
      <c r="F33" s="71">
        <v>-10.9</v>
      </c>
      <c r="G33" s="71">
        <v>0</v>
      </c>
      <c r="H33" s="71">
        <v>0</v>
      </c>
      <c r="I33" s="71">
        <v>0</v>
      </c>
      <c r="J33" s="71">
        <v>0</v>
      </c>
    </row>
    <row r="34" spans="1:10" x14ac:dyDescent="0.3">
      <c r="A34" s="138" t="s">
        <v>128</v>
      </c>
      <c r="B34" s="137"/>
      <c r="C34" s="71"/>
      <c r="D34" s="71">
        <v>0</v>
      </c>
      <c r="E34" s="71">
        <v>4131.8999999999996</v>
      </c>
      <c r="F34" s="71">
        <v>0</v>
      </c>
      <c r="G34" s="71">
        <v>0</v>
      </c>
      <c r="H34" s="71">
        <v>0</v>
      </c>
      <c r="I34" s="71">
        <v>0</v>
      </c>
      <c r="J34" s="71">
        <v>0</v>
      </c>
    </row>
    <row r="35" spans="1:10" x14ac:dyDescent="0.3">
      <c r="A35" s="138" t="s">
        <v>127</v>
      </c>
      <c r="B35" s="137"/>
      <c r="C35" s="71"/>
      <c r="D35" s="71">
        <v>0</v>
      </c>
      <c r="E35" s="71">
        <v>-266.2</v>
      </c>
      <c r="F35" s="71">
        <v>-266</v>
      </c>
      <c r="G35" s="71">
        <v>0</v>
      </c>
      <c r="H35" s="71">
        <v>0</v>
      </c>
      <c r="I35" s="71">
        <v>0</v>
      </c>
      <c r="J35" s="71">
        <v>0</v>
      </c>
    </row>
    <row r="36" spans="1:10" x14ac:dyDescent="0.3">
      <c r="A36" s="138" t="s">
        <v>180</v>
      </c>
      <c r="B36" s="137"/>
      <c r="C36" s="71"/>
      <c r="D36" s="71">
        <v>0</v>
      </c>
      <c r="E36" s="71">
        <v>134.30000000000001</v>
      </c>
      <c r="F36" s="71">
        <v>134.30000000000001</v>
      </c>
      <c r="G36" s="71">
        <v>0</v>
      </c>
      <c r="H36" s="71">
        <v>0</v>
      </c>
      <c r="I36" s="71">
        <v>0</v>
      </c>
      <c r="J36" s="71">
        <v>0</v>
      </c>
    </row>
    <row r="37" spans="1:10" x14ac:dyDescent="0.3">
      <c r="A37" s="138" t="s">
        <v>184</v>
      </c>
      <c r="B37" s="137"/>
      <c r="C37" s="71"/>
      <c r="D37" s="71">
        <v>0</v>
      </c>
      <c r="E37" s="71">
        <v>0</v>
      </c>
      <c r="F37" s="71">
        <v>77.400000000000006</v>
      </c>
      <c r="G37" s="71">
        <v>0</v>
      </c>
      <c r="H37" s="71">
        <v>0</v>
      </c>
      <c r="I37" s="71">
        <v>0</v>
      </c>
      <c r="J37" s="71">
        <v>0</v>
      </c>
    </row>
    <row r="38" spans="1:10" x14ac:dyDescent="0.3">
      <c r="A38" s="138" t="s">
        <v>129</v>
      </c>
      <c r="B38" s="137"/>
      <c r="C38" s="71"/>
      <c r="D38" s="71">
        <v>0</v>
      </c>
      <c r="E38" s="71">
        <v>0</v>
      </c>
      <c r="F38" s="71">
        <v>-46.9</v>
      </c>
      <c r="G38" s="71">
        <v>-304.60000000000002</v>
      </c>
      <c r="H38" s="71">
        <v>9.9</v>
      </c>
      <c r="I38" s="71">
        <v>0</v>
      </c>
      <c r="J38" s="71">
        <v>0</v>
      </c>
    </row>
    <row r="39" spans="1:10" x14ac:dyDescent="0.3">
      <c r="A39" s="138" t="s">
        <v>185</v>
      </c>
      <c r="B39" s="137"/>
      <c r="C39" s="71"/>
      <c r="D39" s="71">
        <v>0</v>
      </c>
      <c r="E39" s="71">
        <v>0</v>
      </c>
      <c r="F39" s="71">
        <v>-3.8</v>
      </c>
      <c r="G39" s="71">
        <v>0</v>
      </c>
      <c r="H39" s="71">
        <v>0</v>
      </c>
      <c r="I39" s="71">
        <v>0</v>
      </c>
      <c r="J39" s="71">
        <v>0</v>
      </c>
    </row>
    <row r="40" spans="1:10" x14ac:dyDescent="0.3">
      <c r="A40" s="138" t="s">
        <v>130</v>
      </c>
      <c r="B40" s="137"/>
      <c r="C40" s="89"/>
      <c r="D40" s="83">
        <f t="shared" ref="D40:I40" si="6">IFERROR(-D101,"n.a.")</f>
        <v>0</v>
      </c>
      <c r="E40" s="83">
        <f t="shared" si="6"/>
        <v>0</v>
      </c>
      <c r="F40" s="83">
        <f t="shared" si="6"/>
        <v>0</v>
      </c>
      <c r="G40" s="83">
        <f t="shared" si="6"/>
        <v>-1189.375</v>
      </c>
      <c r="H40" s="83">
        <f t="shared" si="6"/>
        <v>0</v>
      </c>
      <c r="I40" s="83">
        <f t="shared" si="6"/>
        <v>0</v>
      </c>
      <c r="J40" s="83">
        <v>0</v>
      </c>
    </row>
    <row r="41" spans="1:10" x14ac:dyDescent="0.3">
      <c r="A41" s="211" t="s">
        <v>283</v>
      </c>
      <c r="B41" s="212"/>
      <c r="C41" s="213"/>
      <c r="D41" s="71">
        <v>0</v>
      </c>
      <c r="E41" s="71">
        <v>0</v>
      </c>
      <c r="F41" s="71">
        <v>0</v>
      </c>
      <c r="G41" s="71">
        <v>0</v>
      </c>
      <c r="H41" s="71">
        <v>0</v>
      </c>
      <c r="I41" s="71">
        <v>11.2</v>
      </c>
      <c r="J41" s="71">
        <v>0</v>
      </c>
    </row>
    <row r="42" spans="1:10" s="25" customFormat="1" ht="13" x14ac:dyDescent="0.3">
      <c r="A42" s="126" t="s">
        <v>284</v>
      </c>
      <c r="B42" s="126"/>
      <c r="C42" s="127"/>
      <c r="D42" s="104">
        <f>IFERROR(D26+D27+D28+D29+D30+D31+D32+D33+D34+D35+D36+D37+D38+D39+D40+D41,"n.a.")</f>
        <v>1240.5210000000002</v>
      </c>
      <c r="E42" s="104">
        <f t="shared" ref="E42:I42" si="7">IFERROR(E26+E27+E28+E29+E30+E31+E32+E33+E34+E35+E36+E37+E38+E39+E40+E41,"n.a.")</f>
        <v>4960.6400000000003</v>
      </c>
      <c r="F42" s="104">
        <f t="shared" si="7"/>
        <v>4912.6959999999999</v>
      </c>
      <c r="G42" s="104">
        <f t="shared" si="7"/>
        <v>3218.4870000000001</v>
      </c>
      <c r="H42" s="104">
        <f t="shared" si="7"/>
        <v>3180.1440000000002</v>
      </c>
      <c r="I42" s="104">
        <f t="shared" si="7"/>
        <v>3024.0749999999998</v>
      </c>
      <c r="J42" s="104" t="s">
        <v>175</v>
      </c>
    </row>
    <row r="43" spans="1:10" x14ac:dyDescent="0.3">
      <c r="A43" s="138" t="s">
        <v>301</v>
      </c>
      <c r="B43" s="137"/>
      <c r="C43" s="71"/>
      <c r="D43" s="71">
        <v>0</v>
      </c>
      <c r="E43" s="71">
        <v>0</v>
      </c>
      <c r="F43" s="71">
        <v>0</v>
      </c>
      <c r="G43" s="71">
        <v>0</v>
      </c>
      <c r="H43" s="71">
        <v>0</v>
      </c>
      <c r="I43" s="71">
        <v>494.3</v>
      </c>
      <c r="J43" s="71" t="s">
        <v>230</v>
      </c>
    </row>
    <row r="44" spans="1:10" x14ac:dyDescent="0.3">
      <c r="A44" s="138" t="s">
        <v>300</v>
      </c>
      <c r="B44" s="137"/>
      <c r="C44" s="71"/>
      <c r="D44" s="71">
        <v>0</v>
      </c>
      <c r="E44" s="71">
        <v>0</v>
      </c>
      <c r="F44" s="71">
        <v>0</v>
      </c>
      <c r="G44" s="71">
        <v>0</v>
      </c>
      <c r="H44" s="71">
        <v>0</v>
      </c>
      <c r="I44" s="71">
        <v>-11.2</v>
      </c>
      <c r="J44" s="71" t="s">
        <v>230</v>
      </c>
    </row>
    <row r="45" spans="1:10" s="25" customFormat="1" ht="13" x14ac:dyDescent="0.3">
      <c r="A45" s="126" t="s">
        <v>285</v>
      </c>
      <c r="B45" s="126"/>
      <c r="C45" s="127"/>
      <c r="D45" s="104">
        <f>IFERROR(D42+D43+D44,"n.a.")</f>
        <v>1240.5210000000002</v>
      </c>
      <c r="E45" s="104">
        <f t="shared" ref="E45:I45" si="8">IFERROR(E42+E43+E44,"n.a.")</f>
        <v>4960.6400000000003</v>
      </c>
      <c r="F45" s="104">
        <f t="shared" si="8"/>
        <v>4912.6959999999999</v>
      </c>
      <c r="G45" s="104">
        <f t="shared" si="8"/>
        <v>3218.4870000000001</v>
      </c>
      <c r="H45" s="104">
        <f t="shared" si="8"/>
        <v>3180.1440000000002</v>
      </c>
      <c r="I45" s="104">
        <f t="shared" si="8"/>
        <v>3507.1750000000002</v>
      </c>
      <c r="J45" s="104">
        <f>IFERROR(J26+J27+J28+J29+J30+J31+J32+J33+J34+J35+J36+J37+J38+J39+J40+J41,"n.a.")</f>
        <v>3258.3989999999999</v>
      </c>
    </row>
    <row r="48" spans="1:10" ht="13.5" thickBot="1" x14ac:dyDescent="0.35">
      <c r="A48" s="12" t="s">
        <v>148</v>
      </c>
      <c r="B48" s="12"/>
      <c r="C48" s="14" t="s">
        <v>24</v>
      </c>
      <c r="D48" s="14" t="str">
        <f t="shared" ref="D48:J49" si="9">D4</f>
        <v>FY 2015</v>
      </c>
      <c r="E48" s="14" t="str">
        <f t="shared" si="9"/>
        <v>FY 2016</v>
      </c>
      <c r="F48" s="14" t="str">
        <f t="shared" si="9"/>
        <v>FY 2016</v>
      </c>
      <c r="G48" s="14" t="str">
        <f t="shared" si="9"/>
        <v>FY 2017</v>
      </c>
      <c r="H48" s="14" t="str">
        <f t="shared" si="9"/>
        <v>FY 2018</v>
      </c>
      <c r="I48" s="14" t="str">
        <f t="shared" si="9"/>
        <v>FY 2019</v>
      </c>
      <c r="J48" s="14" t="str">
        <f t="shared" si="9"/>
        <v>FY 2020</v>
      </c>
    </row>
    <row r="49" spans="1:13" x14ac:dyDescent="0.3">
      <c r="C49" s="133" t="s">
        <v>178</v>
      </c>
      <c r="D49" s="133" t="str">
        <f t="shared" si="9"/>
        <v>carve-out</v>
      </c>
      <c r="E49" s="133" t="str">
        <f t="shared" si="9"/>
        <v>carve-out</v>
      </c>
      <c r="F49" s="133" t="str">
        <f t="shared" si="9"/>
        <v>restated</v>
      </c>
      <c r="G49" s="133" t="str">
        <f t="shared" si="9"/>
        <v>reported</v>
      </c>
      <c r="H49" s="133" t="str">
        <f t="shared" si="9"/>
        <v>reported</v>
      </c>
      <c r="I49" s="133" t="str">
        <f t="shared" si="9"/>
        <v>reported</v>
      </c>
      <c r="J49" s="133" t="str">
        <f t="shared" si="9"/>
        <v>reported</v>
      </c>
    </row>
    <row r="51" spans="1:13" ht="12.75" hidden="1" customHeight="1" outlineLevel="3" x14ac:dyDescent="0.3">
      <c r="A51" s="131" t="s">
        <v>20</v>
      </c>
      <c r="B51" s="128"/>
      <c r="C51" s="129">
        <f>'Fin. Highlights - FY'!C40</f>
        <v>237.73300000000009</v>
      </c>
      <c r="D51" s="129">
        <f>'Fin. Highlights - FY'!D40</f>
        <v>-378.4430000000001</v>
      </c>
      <c r="E51" s="129">
        <f>'Fin. Highlights - FY'!E40</f>
        <v>163.98699999999999</v>
      </c>
      <c r="F51" s="129">
        <f>'Fin. Highlights - FY'!F40</f>
        <v>147.625</v>
      </c>
      <c r="G51" s="129">
        <f>'Fin. Highlights - FY'!G40</f>
        <v>175.72499999999985</v>
      </c>
      <c r="H51" s="129">
        <f>'Fin. Highlights - FY'!H40</f>
        <v>442.39099999999985</v>
      </c>
      <c r="I51" s="129">
        <f>'Fin. Highlights - FY'!I40</f>
        <v>457.65899999999999</v>
      </c>
      <c r="J51" s="129">
        <f>'Fin. Highlights - FY'!J40</f>
        <v>42.745000000000047</v>
      </c>
    </row>
    <row r="52" spans="1:13" ht="12.75" hidden="1" customHeight="1" outlineLevel="3" x14ac:dyDescent="0.3">
      <c r="A52" s="142" t="s">
        <v>87</v>
      </c>
      <c r="B52" s="137"/>
      <c r="C52" s="78">
        <f>-'Fin. Highlights - FY'!C39</f>
        <v>-17.623000000000001</v>
      </c>
      <c r="D52" s="78">
        <f>-'Fin. Highlights - FY'!D39</f>
        <v>14.651</v>
      </c>
      <c r="E52" s="78">
        <f>-'Fin. Highlights - FY'!E39</f>
        <v>0</v>
      </c>
      <c r="F52" s="78">
        <f>-'Fin. Highlights - FY'!F39</f>
        <v>16.361999999999998</v>
      </c>
      <c r="G52" s="78">
        <f>-'Fin. Highlights - FY'!G39</f>
        <v>87.561999999999998</v>
      </c>
      <c r="H52" s="78">
        <f>-'Fin. Highlights - FY'!H39</f>
        <v>6.4089999999999998</v>
      </c>
      <c r="I52" s="78">
        <f>-'Fin. Highlights - FY'!I39</f>
        <v>0</v>
      </c>
      <c r="J52" s="78">
        <f>-'Fin. Highlights - FY'!J39</f>
        <v>0</v>
      </c>
    </row>
    <row r="53" spans="1:13" ht="12.75" hidden="1" customHeight="1" outlineLevel="3" x14ac:dyDescent="0.3">
      <c r="A53" s="142" t="s">
        <v>88</v>
      </c>
      <c r="B53" s="137"/>
      <c r="C53" s="78">
        <f>-'Fin. Highlights - FY'!C36</f>
        <v>130.148</v>
      </c>
      <c r="D53" s="78">
        <f>-'Fin. Highlights - FY'!D36</f>
        <v>278.15499999999997</v>
      </c>
      <c r="E53" s="78">
        <f>-'Fin. Highlights - FY'!E36</f>
        <v>75.256</v>
      </c>
      <c r="F53" s="78">
        <f>-'Fin. Highlights - FY'!F36</f>
        <v>75.256</v>
      </c>
      <c r="G53" s="78">
        <f>-'Fin. Highlights - FY'!G36</f>
        <v>40.847999999999999</v>
      </c>
      <c r="H53" s="78">
        <f>-'Fin. Highlights - FY'!H36</f>
        <v>53</v>
      </c>
      <c r="I53" s="78">
        <f>-'Fin. Highlights - FY'!I36</f>
        <v>164.56200000000001</v>
      </c>
      <c r="J53" s="78">
        <f>-'Fin. Highlights - FY'!J36</f>
        <v>14.693</v>
      </c>
    </row>
    <row r="54" spans="1:13" ht="12.75" hidden="1" customHeight="1" outlineLevel="2" collapsed="1" x14ac:dyDescent="0.3">
      <c r="A54" s="132" t="s">
        <v>96</v>
      </c>
      <c r="B54" s="91"/>
      <c r="C54" s="157">
        <f t="shared" ref="C54:G54" si="10">IFERROR(C51+C52+C53,"n.a.")</f>
        <v>350.2580000000001</v>
      </c>
      <c r="D54" s="157">
        <f t="shared" si="10"/>
        <v>-85.637000000000114</v>
      </c>
      <c r="E54" s="157">
        <f t="shared" si="10"/>
        <v>239.24299999999999</v>
      </c>
      <c r="F54" s="157">
        <f t="shared" si="10"/>
        <v>239.24299999999999</v>
      </c>
      <c r="G54" s="157">
        <f t="shared" si="10"/>
        <v>304.13499999999988</v>
      </c>
      <c r="H54" s="157">
        <f>IFERROR(H51+H52+H53-0.035,"n.a.")</f>
        <v>501.76499999999982</v>
      </c>
      <c r="I54" s="157">
        <f>IFERROR(I51+I52+I53+0.038,"n.a.")</f>
        <v>622.25900000000001</v>
      </c>
      <c r="J54" s="157">
        <f>IFERROR(J51+J52+J53-0.072,"n.a.")</f>
        <v>57.366000000000042</v>
      </c>
      <c r="L54" s="255"/>
      <c r="M54" s="255"/>
    </row>
    <row r="55" spans="1:13" hidden="1" outlineLevel="2" x14ac:dyDescent="0.3">
      <c r="A55" s="136" t="s">
        <v>89</v>
      </c>
      <c r="B55" s="137"/>
      <c r="C55" s="46">
        <v>262.25299999999999</v>
      </c>
      <c r="D55" s="46">
        <v>281.065</v>
      </c>
      <c r="E55" s="46">
        <v>342.584</v>
      </c>
      <c r="F55" s="46">
        <v>342.584</v>
      </c>
      <c r="G55" s="46">
        <v>371.45699999999999</v>
      </c>
      <c r="H55" s="46">
        <v>414.52300000000002</v>
      </c>
      <c r="I55" s="46">
        <v>527.81799999999998</v>
      </c>
      <c r="J55" s="46">
        <v>517.15200000000004</v>
      </c>
    </row>
    <row r="56" spans="1:13" hidden="1" outlineLevel="2" x14ac:dyDescent="0.3">
      <c r="A56" s="136" t="s">
        <v>350</v>
      </c>
      <c r="B56" s="137"/>
      <c r="C56" s="84">
        <f t="shared" ref="C56:I56" si="11">IFERROR(C57+C58,"n.a.")</f>
        <v>256.93099999999998</v>
      </c>
      <c r="D56" s="84">
        <f t="shared" si="11"/>
        <v>308.52</v>
      </c>
      <c r="E56" s="84">
        <f t="shared" si="11"/>
        <v>427.19</v>
      </c>
      <c r="F56" s="84">
        <f t="shared" si="11"/>
        <v>427.19</v>
      </c>
      <c r="G56" s="84">
        <f t="shared" si="11"/>
        <v>362.61</v>
      </c>
      <c r="H56" s="84">
        <f t="shared" si="11"/>
        <v>196.31100000000001</v>
      </c>
      <c r="I56" s="84">
        <f t="shared" si="11"/>
        <v>109.47900000000001</v>
      </c>
      <c r="J56" s="46">
        <v>156.50200000000001</v>
      </c>
    </row>
    <row r="57" spans="1:13" hidden="1" outlineLevel="3" x14ac:dyDescent="0.3">
      <c r="A57" s="136" t="s">
        <v>90</v>
      </c>
      <c r="B57" s="137"/>
      <c r="C57" s="46">
        <v>341.56299999999999</v>
      </c>
      <c r="D57" s="46">
        <v>370.38099999999997</v>
      </c>
      <c r="E57" s="46">
        <v>469.99599999999998</v>
      </c>
      <c r="F57" s="46">
        <v>469.99599999999998</v>
      </c>
      <c r="G57" s="46">
        <v>491.15</v>
      </c>
      <c r="H57" s="46">
        <v>255.173</v>
      </c>
      <c r="I57" s="46">
        <v>238.24</v>
      </c>
      <c r="J57" s="71" t="s">
        <v>230</v>
      </c>
    </row>
    <row r="58" spans="1:13" hidden="1" outlineLevel="3" x14ac:dyDescent="0.3">
      <c r="A58" s="136" t="s">
        <v>91</v>
      </c>
      <c r="B58" s="137"/>
      <c r="C58" s="46">
        <v>-84.632000000000005</v>
      </c>
      <c r="D58" s="46">
        <v>-61.860999999999997</v>
      </c>
      <c r="E58" s="46">
        <v>-42.805999999999997</v>
      </c>
      <c r="F58" s="46">
        <v>-42.805999999999997</v>
      </c>
      <c r="G58" s="46">
        <v>-128.54</v>
      </c>
      <c r="H58" s="46">
        <v>-58.862000000000002</v>
      </c>
      <c r="I58" s="46">
        <v>-128.761</v>
      </c>
      <c r="J58" s="71" t="s">
        <v>230</v>
      </c>
    </row>
    <row r="59" spans="1:13" hidden="1" outlineLevel="2" collapsed="1" x14ac:dyDescent="0.3">
      <c r="A59" s="136" t="s">
        <v>92</v>
      </c>
      <c r="B59" s="137"/>
      <c r="C59" s="46">
        <v>0</v>
      </c>
      <c r="D59" s="46">
        <v>507.77699999999999</v>
      </c>
      <c r="E59" s="46">
        <v>0</v>
      </c>
      <c r="F59" s="46">
        <v>0</v>
      </c>
      <c r="G59" s="46">
        <v>0</v>
      </c>
      <c r="H59" s="46">
        <v>0</v>
      </c>
      <c r="I59" s="46">
        <v>0</v>
      </c>
      <c r="J59" s="46">
        <v>0</v>
      </c>
    </row>
    <row r="60" spans="1:13" hidden="1" outlineLevel="2" x14ac:dyDescent="0.3">
      <c r="A60" s="136" t="s">
        <v>93</v>
      </c>
      <c r="B60" s="137"/>
      <c r="C60" s="46">
        <v>-3.8730000000000002</v>
      </c>
      <c r="D60" s="46">
        <v>-6.0289999999999999</v>
      </c>
      <c r="E60" s="46">
        <v>-6.65</v>
      </c>
      <c r="F60" s="46">
        <v>-6.65</v>
      </c>
      <c r="G60" s="46">
        <v>-9.8339999999999996</v>
      </c>
      <c r="H60" s="46">
        <v>-4.1760000000000002</v>
      </c>
      <c r="I60" s="46">
        <v>-5.5259999999999998</v>
      </c>
      <c r="J60" s="46">
        <v>-6.5000000000000002E-2</v>
      </c>
    </row>
    <row r="61" spans="1:13" hidden="1" outlineLevel="2" x14ac:dyDescent="0.3">
      <c r="A61" s="136" t="s">
        <v>94</v>
      </c>
      <c r="B61" s="137"/>
      <c r="C61" s="46">
        <v>35.725999999999999</v>
      </c>
      <c r="D61" s="46">
        <v>38.42</v>
      </c>
      <c r="E61" s="46">
        <v>25.442</v>
      </c>
      <c r="F61" s="46">
        <v>25.442</v>
      </c>
      <c r="G61" s="46">
        <v>8.4369999999999994</v>
      </c>
      <c r="H61" s="46">
        <v>-2.4039999999999999</v>
      </c>
      <c r="I61" s="46">
        <v>6.8540000000000001</v>
      </c>
      <c r="J61" s="46">
        <v>-0.29299999999999998</v>
      </c>
    </row>
    <row r="62" spans="1:13" hidden="1" outlineLevel="2" x14ac:dyDescent="0.3">
      <c r="A62" s="136" t="s">
        <v>95</v>
      </c>
      <c r="B62" s="137"/>
      <c r="C62" s="46">
        <v>55.146999999999998</v>
      </c>
      <c r="D62" s="46">
        <v>9.0020000000000007</v>
      </c>
      <c r="E62" s="46">
        <v>1.2270000000000001</v>
      </c>
      <c r="F62" s="46">
        <v>1.2270000000000001</v>
      </c>
      <c r="G62" s="46">
        <v>8.2520000000000007</v>
      </c>
      <c r="H62" s="46">
        <v>11.56</v>
      </c>
      <c r="I62" s="46">
        <v>9.6780000000000008</v>
      </c>
      <c r="J62" s="46">
        <v>5.6289999999999996</v>
      </c>
    </row>
    <row r="63" spans="1:13" s="25" customFormat="1" ht="13" outlineLevel="1" collapsed="1" x14ac:dyDescent="0.3">
      <c r="A63" s="95" t="s">
        <v>111</v>
      </c>
      <c r="B63" s="91"/>
      <c r="C63" s="157">
        <f t="shared" ref="C63:I63" si="12">IFERROR(C54+C55+C56+C59+C60+C61+C62,"n.a.")</f>
        <v>956.44200000000001</v>
      </c>
      <c r="D63" s="157">
        <f t="shared" si="12"/>
        <v>1053.1179999999999</v>
      </c>
      <c r="E63" s="157">
        <f t="shared" si="12"/>
        <v>1029.0360000000001</v>
      </c>
      <c r="F63" s="157">
        <f t="shared" si="12"/>
        <v>1029.0360000000001</v>
      </c>
      <c r="G63" s="157">
        <f t="shared" si="12"/>
        <v>1045.0569999999996</v>
      </c>
      <c r="H63" s="157">
        <f t="shared" si="12"/>
        <v>1117.5789999999997</v>
      </c>
      <c r="I63" s="157">
        <f t="shared" si="12"/>
        <v>1270.5620000000001</v>
      </c>
      <c r="J63" s="157">
        <f>IFERROR(J54+J55+J56+J59+J60+J61+J62,"n.a.")</f>
        <v>736.29099999999994</v>
      </c>
      <c r="K63" s="134"/>
      <c r="L63" s="134"/>
    </row>
    <row r="64" spans="1:13" outlineLevel="1" x14ac:dyDescent="0.3">
      <c r="A64" s="138" t="s">
        <v>311</v>
      </c>
      <c r="B64" s="137"/>
      <c r="C64" s="71">
        <v>20.562999999999999</v>
      </c>
      <c r="D64" s="71">
        <v>7.61</v>
      </c>
      <c r="E64" s="71">
        <v>-0.65</v>
      </c>
      <c r="F64" s="71">
        <v>-39.481999999999999</v>
      </c>
      <c r="G64" s="71">
        <v>-41.734000000000002</v>
      </c>
      <c r="H64" s="71">
        <v>-12.914999999999999</v>
      </c>
      <c r="I64" s="71">
        <v>37.509</v>
      </c>
      <c r="J64" s="71">
        <v>64.781000000000006</v>
      </c>
    </row>
    <row r="65" spans="1:10" outlineLevel="1" x14ac:dyDescent="0.3">
      <c r="A65" s="138" t="s">
        <v>327</v>
      </c>
      <c r="B65" s="137"/>
      <c r="C65" s="46">
        <v>-130.148</v>
      </c>
      <c r="D65" s="46">
        <v>-170.755</v>
      </c>
      <c r="E65" s="46">
        <v>-75.256</v>
      </c>
      <c r="F65" s="46">
        <v>-104.456</v>
      </c>
      <c r="G65" s="46">
        <v>-135.5</v>
      </c>
      <c r="H65" s="46">
        <v>-119.042</v>
      </c>
      <c r="I65" s="46">
        <v>-141.98500000000001</v>
      </c>
      <c r="J65" s="46">
        <v>-90.691999999999993</v>
      </c>
    </row>
    <row r="66" spans="1:10" outlineLevel="1" x14ac:dyDescent="0.3">
      <c r="A66" s="138" t="s">
        <v>97</v>
      </c>
      <c r="B66" s="137"/>
      <c r="C66" s="46">
        <v>-74.748999999999995</v>
      </c>
      <c r="D66" s="46">
        <v>-65.305000000000007</v>
      </c>
      <c r="E66" s="46">
        <v>25.440999999999999</v>
      </c>
      <c r="F66" s="46">
        <v>48.28</v>
      </c>
      <c r="G66" s="46">
        <v>-109.76808642764956</v>
      </c>
      <c r="H66" s="46">
        <v>-199.91900000000001</v>
      </c>
      <c r="I66" s="46">
        <v>28.3</v>
      </c>
      <c r="J66" s="46">
        <v>140.64500000000001</v>
      </c>
    </row>
    <row r="67" spans="1:10" outlineLevel="1" x14ac:dyDescent="0.3">
      <c r="A67" s="138" t="s">
        <v>98</v>
      </c>
      <c r="B67" s="137"/>
      <c r="C67" s="46">
        <v>-34.921999999999997</v>
      </c>
      <c r="D67" s="46">
        <v>-146.54</v>
      </c>
      <c r="E67" s="46">
        <v>12.2</v>
      </c>
      <c r="F67" s="46">
        <v>144.917</v>
      </c>
      <c r="G67" s="46">
        <v>73.644000000000005</v>
      </c>
      <c r="H67" s="46">
        <v>-23.388000000000002</v>
      </c>
      <c r="I67" s="46">
        <v>-44.637</v>
      </c>
      <c r="J67" s="46">
        <v>-35.323999999999998</v>
      </c>
    </row>
    <row r="68" spans="1:10" outlineLevel="1" x14ac:dyDescent="0.3">
      <c r="A68" s="138" t="s">
        <v>99</v>
      </c>
      <c r="B68" s="137"/>
      <c r="C68" s="46">
        <v>56.674999999999997</v>
      </c>
      <c r="D68" s="46">
        <v>33.561</v>
      </c>
      <c r="E68" s="46">
        <v>73.262</v>
      </c>
      <c r="F68" s="46">
        <v>201.845</v>
      </c>
      <c r="G68" s="46">
        <v>447.38499999999999</v>
      </c>
      <c r="H68" s="46">
        <v>104.663</v>
      </c>
      <c r="I68" s="46">
        <v>18.815000000000001</v>
      </c>
      <c r="J68" s="46">
        <v>-184.60400000000001</v>
      </c>
    </row>
    <row r="69" spans="1:10" outlineLevel="1" x14ac:dyDescent="0.3">
      <c r="A69" s="138" t="s">
        <v>100</v>
      </c>
      <c r="B69" s="137"/>
      <c r="C69" s="46">
        <v>-24.065999999999999</v>
      </c>
      <c r="D69" s="46">
        <v>72.718000000000004</v>
      </c>
      <c r="E69" s="46">
        <v>-21.587</v>
      </c>
      <c r="F69" s="46">
        <v>-38.462000000000003</v>
      </c>
      <c r="G69" s="46">
        <v>-39.423000000000002</v>
      </c>
      <c r="H69" s="46">
        <v>-151.42500000000001</v>
      </c>
      <c r="I69" s="83">
        <f t="shared" ref="I69:J69" si="13">IFERROR(I70+I71,"n.a.")</f>
        <v>-79.606999999999999</v>
      </c>
      <c r="J69" s="83">
        <f t="shared" si="13"/>
        <v>82.480999999999995</v>
      </c>
    </row>
    <row r="70" spans="1:10" hidden="1" outlineLevel="2" x14ac:dyDescent="0.3">
      <c r="A70" s="136" t="s">
        <v>363</v>
      </c>
      <c r="B70" s="137"/>
      <c r="C70" s="46" t="s">
        <v>230</v>
      </c>
      <c r="D70" s="46" t="s">
        <v>230</v>
      </c>
      <c r="E70" s="46" t="s">
        <v>230</v>
      </c>
      <c r="F70" s="46" t="s">
        <v>230</v>
      </c>
      <c r="G70" s="46" t="s">
        <v>230</v>
      </c>
      <c r="H70" s="46" t="s">
        <v>230</v>
      </c>
      <c r="I70" s="71">
        <v>-32.161000000000001</v>
      </c>
      <c r="J70" s="71">
        <v>21.925999999999998</v>
      </c>
    </row>
    <row r="71" spans="1:10" hidden="1" outlineLevel="2" x14ac:dyDescent="0.3">
      <c r="A71" s="136" t="s">
        <v>364</v>
      </c>
      <c r="B71" s="137"/>
      <c r="C71" s="46" t="s">
        <v>230</v>
      </c>
      <c r="D71" s="46" t="s">
        <v>230</v>
      </c>
      <c r="E71" s="46" t="s">
        <v>230</v>
      </c>
      <c r="F71" s="46" t="s">
        <v>230</v>
      </c>
      <c r="G71" s="46" t="s">
        <v>230</v>
      </c>
      <c r="H71" s="46" t="s">
        <v>230</v>
      </c>
      <c r="I71" s="71">
        <v>-47.445999999999998</v>
      </c>
      <c r="J71" s="71">
        <v>60.555</v>
      </c>
    </row>
    <row r="72" spans="1:10" outlineLevel="1" collapsed="1" x14ac:dyDescent="0.3">
      <c r="A72" s="138" t="s">
        <v>328</v>
      </c>
      <c r="B72" s="137"/>
      <c r="C72" s="46">
        <v>-34.597999999999999</v>
      </c>
      <c r="D72" s="46">
        <v>31.245000000000001</v>
      </c>
      <c r="E72" s="46">
        <v>-60.216000000000001</v>
      </c>
      <c r="F72" s="46">
        <v>-155.50200000000001</v>
      </c>
      <c r="G72" s="46">
        <v>-102.01</v>
      </c>
      <c r="H72" s="46">
        <v>-57.226999999999997</v>
      </c>
      <c r="I72" s="84">
        <f t="shared" ref="I72:J72" si="14">IFERROR(I73+I74,"n.a.")</f>
        <v>-66.254999999999995</v>
      </c>
      <c r="J72" s="84">
        <f t="shared" si="14"/>
        <v>-95.225999999999999</v>
      </c>
    </row>
    <row r="73" spans="1:10" hidden="1" outlineLevel="2" x14ac:dyDescent="0.3">
      <c r="A73" s="136" t="s">
        <v>365</v>
      </c>
      <c r="B73" s="137"/>
      <c r="C73" s="46" t="s">
        <v>230</v>
      </c>
      <c r="D73" s="46" t="s">
        <v>230</v>
      </c>
      <c r="E73" s="46" t="s">
        <v>230</v>
      </c>
      <c r="F73" s="46" t="s">
        <v>230</v>
      </c>
      <c r="G73" s="46" t="s">
        <v>230</v>
      </c>
      <c r="H73" s="46" t="s">
        <v>230</v>
      </c>
      <c r="I73" s="71">
        <v>-43.029000000000003</v>
      </c>
      <c r="J73" s="71">
        <v>-37.173000000000002</v>
      </c>
    </row>
    <row r="74" spans="1:10" hidden="1" outlineLevel="2" x14ac:dyDescent="0.3">
      <c r="A74" s="136" t="s">
        <v>366</v>
      </c>
      <c r="B74" s="137"/>
      <c r="C74" s="46" t="s">
        <v>230</v>
      </c>
      <c r="D74" s="46" t="s">
        <v>230</v>
      </c>
      <c r="E74" s="46" t="s">
        <v>230</v>
      </c>
      <c r="F74" s="46" t="s">
        <v>230</v>
      </c>
      <c r="G74" s="46" t="s">
        <v>230</v>
      </c>
      <c r="H74" s="46" t="s">
        <v>230</v>
      </c>
      <c r="I74" s="71">
        <v>-23.225999999999999</v>
      </c>
      <c r="J74" s="71">
        <v>-58.052999999999997</v>
      </c>
    </row>
    <row r="75" spans="1:10" s="25" customFormat="1" ht="13" collapsed="1" x14ac:dyDescent="0.3">
      <c r="A75" s="130" t="s">
        <v>112</v>
      </c>
      <c r="B75" s="130"/>
      <c r="C75" s="80">
        <f t="shared" ref="C75:I75" si="15">IFERROR(C63+C64+C65+C66+C67+C68+C69+C72,"n.a.")</f>
        <v>735.19699999999989</v>
      </c>
      <c r="D75" s="80">
        <f t="shared" si="15"/>
        <v>815.65199999999993</v>
      </c>
      <c r="E75" s="80">
        <f t="shared" si="15"/>
        <v>982.23000000000013</v>
      </c>
      <c r="F75" s="80">
        <f t="shared" si="15"/>
        <v>1086.1760000000002</v>
      </c>
      <c r="G75" s="80">
        <f t="shared" si="15"/>
        <v>1137.65091357235</v>
      </c>
      <c r="H75" s="80">
        <f t="shared" si="15"/>
        <v>658.32599999999968</v>
      </c>
      <c r="I75" s="80">
        <f t="shared" si="15"/>
        <v>1022.7020000000003</v>
      </c>
      <c r="J75" s="80">
        <f t="shared" ref="J75" si="16">IFERROR(J63+J64+J65+J66+J67+J68+J69+J72,"n.a.")</f>
        <v>618.35199999999986</v>
      </c>
    </row>
    <row r="76" spans="1:10" x14ac:dyDescent="0.3">
      <c r="A76" s="143"/>
      <c r="B76" s="143"/>
      <c r="C76" s="144"/>
      <c r="D76" s="144"/>
      <c r="E76" s="144"/>
      <c r="F76" s="144"/>
      <c r="G76" s="144"/>
      <c r="H76" s="144"/>
      <c r="I76" s="144"/>
      <c r="J76" s="144"/>
    </row>
    <row r="77" spans="1:10" outlineLevel="1" x14ac:dyDescent="0.3">
      <c r="A77" s="145" t="s">
        <v>329</v>
      </c>
      <c r="B77" s="135"/>
      <c r="C77" s="45">
        <v>-286.77199999999999</v>
      </c>
      <c r="D77" s="45">
        <v>-337.86099999999999</v>
      </c>
      <c r="E77" s="45">
        <v>-332.685</v>
      </c>
      <c r="F77" s="90">
        <v>-363.46600000000001</v>
      </c>
      <c r="G77" s="90">
        <v>-470.38299999999998</v>
      </c>
      <c r="H77" s="90">
        <v>-451.80099999999999</v>
      </c>
      <c r="I77" s="245">
        <v>-369.69900000000001</v>
      </c>
      <c r="J77" s="245">
        <v>-124.508</v>
      </c>
    </row>
    <row r="78" spans="1:10" outlineLevel="1" x14ac:dyDescent="0.3">
      <c r="A78" s="145" t="s">
        <v>330</v>
      </c>
      <c r="B78" s="135"/>
      <c r="C78" s="45">
        <v>0</v>
      </c>
      <c r="D78" s="45">
        <v>0</v>
      </c>
      <c r="E78" s="45">
        <v>0</v>
      </c>
      <c r="F78" s="90">
        <v>0</v>
      </c>
      <c r="G78" s="90">
        <v>0</v>
      </c>
      <c r="H78" s="90">
        <v>-6.2910000000000004</v>
      </c>
      <c r="I78" s="245">
        <v>3.7639999999999998</v>
      </c>
      <c r="J78" s="245">
        <v>-53.371000000000002</v>
      </c>
    </row>
    <row r="79" spans="1:10" outlineLevel="1" x14ac:dyDescent="0.3">
      <c r="A79" s="138" t="s">
        <v>367</v>
      </c>
      <c r="B79" s="137"/>
      <c r="C79" s="46">
        <v>9.8119999999999994</v>
      </c>
      <c r="D79" s="46">
        <v>9.5839999999999996</v>
      </c>
      <c r="E79" s="46">
        <v>95.703999999999994</v>
      </c>
      <c r="F79" s="71">
        <v>91.626000000000005</v>
      </c>
      <c r="G79" s="71">
        <v>73.504999999999995</v>
      </c>
      <c r="H79" s="71">
        <v>16.222999999999999</v>
      </c>
      <c r="I79" s="84">
        <f t="shared" ref="I79:J79" si="17">IFERROR(I80+I81,"n.a.")</f>
        <v>7.6609999999999996</v>
      </c>
      <c r="J79" s="84">
        <f t="shared" si="17"/>
        <v>5.6840000000000002</v>
      </c>
    </row>
    <row r="80" spans="1:10" hidden="1" outlineLevel="2" x14ac:dyDescent="0.3">
      <c r="A80" s="136" t="s">
        <v>368</v>
      </c>
      <c r="B80" s="137"/>
      <c r="C80" s="46" t="s">
        <v>230</v>
      </c>
      <c r="D80" s="46" t="s">
        <v>230</v>
      </c>
      <c r="E80" s="46" t="s">
        <v>230</v>
      </c>
      <c r="F80" s="46" t="s">
        <v>230</v>
      </c>
      <c r="G80" s="46" t="s">
        <v>230</v>
      </c>
      <c r="H80" s="46" t="s">
        <v>230</v>
      </c>
      <c r="I80" s="71">
        <v>7.6459999999999999</v>
      </c>
      <c r="J80" s="71">
        <v>5.4050000000000002</v>
      </c>
    </row>
    <row r="81" spans="1:12" hidden="1" outlineLevel="2" x14ac:dyDescent="0.3">
      <c r="A81" s="136" t="s">
        <v>369</v>
      </c>
      <c r="B81" s="137"/>
      <c r="C81" s="46" t="s">
        <v>230</v>
      </c>
      <c r="D81" s="46" t="s">
        <v>230</v>
      </c>
      <c r="E81" s="46" t="s">
        <v>230</v>
      </c>
      <c r="F81" s="46" t="s">
        <v>230</v>
      </c>
      <c r="G81" s="46" t="s">
        <v>230</v>
      </c>
      <c r="H81" s="46" t="s">
        <v>230</v>
      </c>
      <c r="I81" s="71">
        <v>1.4999999999999999E-2</v>
      </c>
      <c r="J81" s="71">
        <v>0.27900000000000003</v>
      </c>
    </row>
    <row r="82" spans="1:12" outlineLevel="1" collapsed="1" x14ac:dyDescent="0.3">
      <c r="A82" s="138" t="s">
        <v>101</v>
      </c>
      <c r="B82" s="137"/>
      <c r="C82" s="46">
        <v>-10.696</v>
      </c>
      <c r="D82" s="46">
        <v>-11.621</v>
      </c>
      <c r="E82" s="46">
        <v>-7.71</v>
      </c>
      <c r="F82" s="71">
        <v>-8.7170000000000005</v>
      </c>
      <c r="G82" s="71">
        <v>-18.969000000000001</v>
      </c>
      <c r="H82" s="71">
        <v>-11.64</v>
      </c>
      <c r="I82" s="71">
        <v>-20.812000000000001</v>
      </c>
      <c r="J82" s="71">
        <v>-15.526999999999999</v>
      </c>
    </row>
    <row r="83" spans="1:12" outlineLevel="1" x14ac:dyDescent="0.3">
      <c r="A83" s="138" t="s">
        <v>314</v>
      </c>
      <c r="B83" s="137"/>
      <c r="C83" s="46">
        <v>0</v>
      </c>
      <c r="D83" s="46">
        <v>0</v>
      </c>
      <c r="E83" s="46">
        <v>100.35299999999999</v>
      </c>
      <c r="F83" s="71">
        <v>100.35299999999999</v>
      </c>
      <c r="G83" s="71">
        <v>8.5559999999999992</v>
      </c>
      <c r="H83" s="71">
        <v>2.6739999999999999</v>
      </c>
      <c r="I83" s="71">
        <v>0</v>
      </c>
      <c r="J83" s="71">
        <v>0</v>
      </c>
    </row>
    <row r="84" spans="1:12" outlineLevel="1" x14ac:dyDescent="0.3">
      <c r="A84" s="138" t="s">
        <v>102</v>
      </c>
      <c r="B84" s="137"/>
      <c r="C84" s="46">
        <v>125.6</v>
      </c>
      <c r="D84" s="46">
        <v>45.6</v>
      </c>
      <c r="E84" s="46">
        <v>0</v>
      </c>
      <c r="F84" s="71">
        <v>0</v>
      </c>
      <c r="G84" s="71">
        <v>0</v>
      </c>
      <c r="H84" s="71">
        <v>0</v>
      </c>
      <c r="I84" s="71">
        <v>0</v>
      </c>
      <c r="J84" s="71">
        <v>0</v>
      </c>
    </row>
    <row r="85" spans="1:12" outlineLevel="1" x14ac:dyDescent="0.3">
      <c r="A85" s="138" t="s">
        <v>331</v>
      </c>
      <c r="B85" s="137"/>
      <c r="C85" s="46">
        <v>17.885999999999999</v>
      </c>
      <c r="D85" s="46">
        <v>0</v>
      </c>
      <c r="E85" s="46">
        <v>0</v>
      </c>
      <c r="F85" s="71">
        <v>0</v>
      </c>
      <c r="G85" s="71">
        <v>-15.638999999999999</v>
      </c>
      <c r="H85" s="71">
        <v>0</v>
      </c>
      <c r="I85" s="71">
        <v>10.7</v>
      </c>
      <c r="J85" s="71">
        <v>6.9000000000000006E-2</v>
      </c>
    </row>
    <row r="86" spans="1:12" outlineLevel="1" x14ac:dyDescent="0.3">
      <c r="A86" s="138" t="s">
        <v>315</v>
      </c>
      <c r="B86" s="137"/>
      <c r="C86" s="46">
        <v>0</v>
      </c>
      <c r="D86" s="46">
        <v>0</v>
      </c>
      <c r="E86" s="46">
        <v>0</v>
      </c>
      <c r="F86" s="71">
        <v>0</v>
      </c>
      <c r="G86" s="71">
        <v>0</v>
      </c>
      <c r="H86" s="71">
        <v>-49.722000000000001</v>
      </c>
      <c r="I86" s="71">
        <v>0</v>
      </c>
      <c r="J86" s="71">
        <v>0</v>
      </c>
      <c r="K86" s="189"/>
      <c r="L86" s="190"/>
    </row>
    <row r="87" spans="1:12" outlineLevel="1" x14ac:dyDescent="0.3">
      <c r="A87" s="138" t="s">
        <v>103</v>
      </c>
      <c r="B87" s="137"/>
      <c r="C87" s="46">
        <v>-17.457999999999998</v>
      </c>
      <c r="D87" s="46">
        <v>-12.157</v>
      </c>
      <c r="E87" s="46">
        <v>-4.6920000000000002</v>
      </c>
      <c r="F87" s="71">
        <v>-4.6920000000000002</v>
      </c>
      <c r="G87" s="71">
        <v>17.183</v>
      </c>
      <c r="H87" s="71">
        <v>-65.221999999999994</v>
      </c>
      <c r="I87" s="71">
        <v>-8.9250000000000007</v>
      </c>
      <c r="J87" s="71">
        <v>0</v>
      </c>
    </row>
    <row r="88" spans="1:12" outlineLevel="1" x14ac:dyDescent="0.3">
      <c r="A88" s="138" t="s">
        <v>316</v>
      </c>
      <c r="B88" s="137"/>
      <c r="C88" s="46">
        <v>-0.45500000000000002</v>
      </c>
      <c r="D88" s="46">
        <v>-8.4930000000000003</v>
      </c>
      <c r="E88" s="46">
        <v>9.1449999999999996</v>
      </c>
      <c r="F88" s="71">
        <v>9.1449999999999996</v>
      </c>
      <c r="G88" s="71">
        <v>-2.4649999999999999</v>
      </c>
      <c r="H88" s="71">
        <v>152.80799999999999</v>
      </c>
      <c r="I88" s="71">
        <v>0</v>
      </c>
      <c r="J88" s="71">
        <v>0</v>
      </c>
    </row>
    <row r="89" spans="1:12" outlineLevel="1" x14ac:dyDescent="0.3">
      <c r="A89" s="138" t="s">
        <v>104</v>
      </c>
      <c r="B89" s="137"/>
      <c r="C89" s="46">
        <v>0</v>
      </c>
      <c r="D89" s="46">
        <v>0</v>
      </c>
      <c r="E89" s="46">
        <v>266.2</v>
      </c>
      <c r="F89" s="71">
        <v>266.2</v>
      </c>
      <c r="G89" s="71">
        <v>0</v>
      </c>
      <c r="H89" s="71">
        <v>0</v>
      </c>
      <c r="I89" s="71">
        <v>0</v>
      </c>
      <c r="J89" s="71">
        <v>0</v>
      </c>
    </row>
    <row r="90" spans="1:12" outlineLevel="1" x14ac:dyDescent="0.3">
      <c r="A90" s="138" t="s">
        <v>105</v>
      </c>
      <c r="B90" s="137"/>
      <c r="C90" s="46">
        <v>0</v>
      </c>
      <c r="D90" s="46">
        <v>0</v>
      </c>
      <c r="E90" s="46">
        <v>70.748999999999995</v>
      </c>
      <c r="F90" s="71">
        <v>70.748999999999995</v>
      </c>
      <c r="G90" s="71">
        <v>0</v>
      </c>
      <c r="H90" s="71">
        <v>0</v>
      </c>
      <c r="I90" s="71">
        <v>0</v>
      </c>
      <c r="J90" s="71">
        <v>0</v>
      </c>
    </row>
    <row r="91" spans="1:12" outlineLevel="1" x14ac:dyDescent="0.3">
      <c r="A91" s="138" t="s">
        <v>269</v>
      </c>
      <c r="B91" s="137"/>
      <c r="C91" s="46">
        <v>0</v>
      </c>
      <c r="D91" s="46">
        <v>0</v>
      </c>
      <c r="E91" s="46">
        <v>0</v>
      </c>
      <c r="F91" s="71">
        <v>0</v>
      </c>
      <c r="G91" s="71">
        <v>0</v>
      </c>
      <c r="H91" s="71">
        <v>-1.393</v>
      </c>
      <c r="I91" s="71">
        <v>0</v>
      </c>
      <c r="J91" s="71">
        <v>0</v>
      </c>
    </row>
    <row r="92" spans="1:12" outlineLevel="1" x14ac:dyDescent="0.3">
      <c r="A92" s="138" t="s">
        <v>106</v>
      </c>
      <c r="B92" s="137"/>
      <c r="C92" s="46">
        <v>0</v>
      </c>
      <c r="D92" s="46">
        <v>0</v>
      </c>
      <c r="E92" s="46">
        <v>-53.395000000000003</v>
      </c>
      <c r="F92" s="71">
        <v>-53.395000000000003</v>
      </c>
      <c r="G92" s="71">
        <v>0</v>
      </c>
      <c r="H92" s="71">
        <v>0</v>
      </c>
      <c r="I92" s="71">
        <v>0</v>
      </c>
      <c r="J92" s="71">
        <v>0</v>
      </c>
    </row>
    <row r="93" spans="1:12" outlineLevel="1" x14ac:dyDescent="0.3">
      <c r="A93" s="138" t="s">
        <v>358</v>
      </c>
      <c r="B93" s="137"/>
      <c r="C93" s="84">
        <f>IFERROR(C94+C95,"n.a.")</f>
        <v>3.8730000000000002</v>
      </c>
      <c r="D93" s="84">
        <f t="shared" ref="D93:I93" si="18">IFERROR(D94+D95,"n.a.")</f>
        <v>6.0289999999999999</v>
      </c>
      <c r="E93" s="84">
        <f t="shared" si="18"/>
        <v>6.65</v>
      </c>
      <c r="F93" s="83">
        <f t="shared" si="18"/>
        <v>6.65</v>
      </c>
      <c r="G93" s="83">
        <f t="shared" si="18"/>
        <v>9.8339999999999996</v>
      </c>
      <c r="H93" s="83">
        <f t="shared" si="18"/>
        <v>4.1760000000000002</v>
      </c>
      <c r="I93" s="83">
        <f t="shared" si="18"/>
        <v>14.956</v>
      </c>
      <c r="J93" s="71">
        <v>6.5000000000000002E-2</v>
      </c>
    </row>
    <row r="94" spans="1:12" hidden="1" outlineLevel="2" x14ac:dyDescent="0.3">
      <c r="A94" s="136" t="s">
        <v>317</v>
      </c>
      <c r="B94" s="137"/>
      <c r="C94" s="46">
        <v>0</v>
      </c>
      <c r="D94" s="46">
        <v>0</v>
      </c>
      <c r="E94" s="46">
        <v>0</v>
      </c>
      <c r="F94" s="71">
        <v>0</v>
      </c>
      <c r="G94" s="71">
        <v>0</v>
      </c>
      <c r="H94" s="71">
        <v>0</v>
      </c>
      <c r="I94" s="71">
        <v>9.43</v>
      </c>
      <c r="J94" s="71" t="s">
        <v>230</v>
      </c>
    </row>
    <row r="95" spans="1:12" hidden="1" outlineLevel="2" x14ac:dyDescent="0.3">
      <c r="A95" s="136" t="s">
        <v>237</v>
      </c>
      <c r="B95" s="137"/>
      <c r="C95" s="46">
        <v>3.8730000000000002</v>
      </c>
      <c r="D95" s="46">
        <v>6.0289999999999999</v>
      </c>
      <c r="E95" s="46">
        <v>6.65</v>
      </c>
      <c r="F95" s="71">
        <v>6.65</v>
      </c>
      <c r="G95" s="71">
        <v>9.8339999999999996</v>
      </c>
      <c r="H95" s="71">
        <v>4.1760000000000002</v>
      </c>
      <c r="I95" s="71">
        <v>5.5259999999999998</v>
      </c>
      <c r="J95" s="71" t="s">
        <v>230</v>
      </c>
    </row>
    <row r="96" spans="1:12" outlineLevel="1" collapsed="1" x14ac:dyDescent="0.3">
      <c r="A96" s="138" t="s">
        <v>362</v>
      </c>
      <c r="B96" s="137"/>
      <c r="C96" s="46" t="s">
        <v>230</v>
      </c>
      <c r="D96" s="46" t="s">
        <v>230</v>
      </c>
      <c r="E96" s="46" t="s">
        <v>230</v>
      </c>
      <c r="F96" s="71" t="s">
        <v>230</v>
      </c>
      <c r="G96" s="71" t="s">
        <v>230</v>
      </c>
      <c r="H96" s="71" t="s">
        <v>230</v>
      </c>
      <c r="I96" s="71">
        <v>-13.42</v>
      </c>
      <c r="J96" s="71">
        <v>-64.093000000000004</v>
      </c>
    </row>
    <row r="97" spans="1:12" s="25" customFormat="1" ht="13" x14ac:dyDescent="0.3">
      <c r="A97" s="130" t="s">
        <v>113</v>
      </c>
      <c r="B97" s="130"/>
      <c r="C97" s="80">
        <f t="shared" ref="C97:H97" si="19">IFERROR(C77+C78+C79+C82+C83+C84+C85+C86+C87+C88+C89+C90+C91+C92+C93,"n.a.")</f>
        <v>-158.21000000000004</v>
      </c>
      <c r="D97" s="80">
        <f t="shared" si="19"/>
        <v>-308.91899999999993</v>
      </c>
      <c r="E97" s="80">
        <f t="shared" si="19"/>
        <v>150.31899999999996</v>
      </c>
      <c r="F97" s="80">
        <f t="shared" si="19"/>
        <v>114.45299999999997</v>
      </c>
      <c r="G97" s="80">
        <f t="shared" si="19"/>
        <v>-398.37799999999999</v>
      </c>
      <c r="H97" s="80">
        <f t="shared" si="19"/>
        <v>-410.18799999999999</v>
      </c>
      <c r="I97" s="80">
        <f>IFERROR(I77+I78+I79+I82+I83+I84+I85+I86+I87+I88+I89+I90+I91+I92+I93+I96,"n.a.")</f>
        <v>-375.77500000000003</v>
      </c>
      <c r="J97" s="80">
        <f>IFERROR(J77+J78+J79+J82+J83+J84+J85+J86+J87+J88+J89+J90+J91+J92+J93+J96,"n.a.")</f>
        <v>-251.68099999999998</v>
      </c>
      <c r="L97" s="134"/>
    </row>
    <row r="98" spans="1:12" x14ac:dyDescent="0.3">
      <c r="A98" s="143"/>
      <c r="B98" s="143"/>
      <c r="C98" s="144"/>
      <c r="D98" s="144"/>
      <c r="E98" s="144"/>
      <c r="F98" s="144"/>
      <c r="G98" s="144"/>
      <c r="H98" s="144"/>
      <c r="I98" s="144"/>
      <c r="J98" s="144"/>
    </row>
    <row r="99" spans="1:12" outlineLevel="1" x14ac:dyDescent="0.3">
      <c r="A99" s="145" t="s">
        <v>356</v>
      </c>
      <c r="B99" s="135"/>
      <c r="C99" s="45" t="s">
        <v>230</v>
      </c>
      <c r="D99" s="45" t="s">
        <v>230</v>
      </c>
      <c r="E99" s="45" t="s">
        <v>230</v>
      </c>
      <c r="F99" s="45" t="s">
        <v>230</v>
      </c>
      <c r="G99" s="45" t="s">
        <v>230</v>
      </c>
      <c r="H99" s="45" t="s">
        <v>230</v>
      </c>
      <c r="I99" s="45">
        <v>1706.4570000000001</v>
      </c>
      <c r="J99" s="45">
        <v>2577.1819999999998</v>
      </c>
    </row>
    <row r="100" spans="1:12" outlineLevel="1" x14ac:dyDescent="0.3">
      <c r="A100" s="145" t="s">
        <v>357</v>
      </c>
      <c r="B100" s="135"/>
      <c r="C100" s="45" t="s">
        <v>230</v>
      </c>
      <c r="D100" s="45" t="s">
        <v>230</v>
      </c>
      <c r="E100" s="45" t="s">
        <v>230</v>
      </c>
      <c r="F100" s="45" t="s">
        <v>230</v>
      </c>
      <c r="G100" s="45" t="s">
        <v>230</v>
      </c>
      <c r="H100" s="45" t="s">
        <v>230</v>
      </c>
      <c r="I100" s="45">
        <v>-1623.3409999999999</v>
      </c>
      <c r="J100" s="45">
        <v>-1806.69</v>
      </c>
    </row>
    <row r="101" spans="1:12" outlineLevel="1" x14ac:dyDescent="0.3">
      <c r="A101" s="145" t="s">
        <v>107</v>
      </c>
      <c r="B101" s="135"/>
      <c r="C101" s="45">
        <v>5.6310000000000002</v>
      </c>
      <c r="D101" s="45">
        <v>0</v>
      </c>
      <c r="E101" s="45">
        <v>0</v>
      </c>
      <c r="F101" s="45">
        <v>0</v>
      </c>
      <c r="G101" s="45">
        <v>1189.375</v>
      </c>
      <c r="H101" s="45">
        <v>0</v>
      </c>
      <c r="I101" s="45">
        <v>0</v>
      </c>
      <c r="J101" s="45">
        <v>0</v>
      </c>
    </row>
    <row r="102" spans="1:12" outlineLevel="1" x14ac:dyDescent="0.3">
      <c r="A102" s="138" t="s">
        <v>108</v>
      </c>
      <c r="B102" s="137"/>
      <c r="C102" s="46">
        <v>0</v>
      </c>
      <c r="D102" s="46">
        <v>0</v>
      </c>
      <c r="E102" s="46">
        <v>0</v>
      </c>
      <c r="F102" s="46">
        <v>0</v>
      </c>
      <c r="G102" s="46">
        <v>0</v>
      </c>
      <c r="H102" s="46">
        <v>0</v>
      </c>
      <c r="I102" s="46">
        <v>0</v>
      </c>
      <c r="J102" s="46">
        <v>0</v>
      </c>
    </row>
    <row r="103" spans="1:12" outlineLevel="1" x14ac:dyDescent="0.3">
      <c r="A103" s="138" t="s">
        <v>109</v>
      </c>
      <c r="B103" s="137"/>
      <c r="C103" s="46">
        <v>117.08</v>
      </c>
      <c r="D103" s="46">
        <v>232.98599999999999</v>
      </c>
      <c r="E103" s="46">
        <v>-270.73399999999998</v>
      </c>
      <c r="F103" s="46">
        <v>-345.96600000000001</v>
      </c>
      <c r="G103" s="46">
        <v>-2060.3040000000001</v>
      </c>
      <c r="H103" s="46">
        <v>168.952</v>
      </c>
      <c r="I103" s="46">
        <v>0</v>
      </c>
      <c r="J103" s="46">
        <v>0</v>
      </c>
      <c r="K103" s="159"/>
    </row>
    <row r="104" spans="1:12" outlineLevel="1" x14ac:dyDescent="0.3">
      <c r="A104" s="234" t="s">
        <v>262</v>
      </c>
      <c r="B104" s="137"/>
      <c r="C104" s="46">
        <v>-28.492000000000001</v>
      </c>
      <c r="D104" s="46">
        <v>7.6559999999999997</v>
      </c>
      <c r="E104" s="46">
        <v>-1.4690000000000001</v>
      </c>
      <c r="F104" s="46">
        <v>-44.332000000000001</v>
      </c>
      <c r="G104" s="46">
        <v>218.03700000000001</v>
      </c>
      <c r="H104" s="46">
        <v>-31.760999999999999</v>
      </c>
      <c r="I104" s="46">
        <v>-41.715000000000003</v>
      </c>
      <c r="J104" s="46">
        <v>-192.666</v>
      </c>
    </row>
    <row r="105" spans="1:12" outlineLevel="1" x14ac:dyDescent="0.3">
      <c r="A105" s="138" t="s">
        <v>114</v>
      </c>
      <c r="B105" s="137"/>
      <c r="C105" s="46">
        <v>-184.846</v>
      </c>
      <c r="D105" s="46">
        <v>-284.55</v>
      </c>
      <c r="E105" s="46">
        <v>-304.03100000000001</v>
      </c>
      <c r="F105" s="46">
        <v>-321.85300000000001</v>
      </c>
      <c r="G105" s="46">
        <v>-280.83199999999999</v>
      </c>
      <c r="H105" s="46">
        <v>-168.40600000000001</v>
      </c>
      <c r="I105" s="46">
        <v>-85.537000000000006</v>
      </c>
      <c r="J105" s="46">
        <v>-38.503999999999998</v>
      </c>
    </row>
    <row r="106" spans="1:12" outlineLevel="1" x14ac:dyDescent="0.3">
      <c r="A106" s="138" t="s">
        <v>110</v>
      </c>
      <c r="B106" s="137"/>
      <c r="C106" s="46">
        <v>-102.03100000000001</v>
      </c>
      <c r="D106" s="46">
        <v>-167.905</v>
      </c>
      <c r="E106" s="46">
        <v>0</v>
      </c>
      <c r="F106" s="46">
        <v>-2.0529999999999999</v>
      </c>
      <c r="G106" s="46">
        <v>-12.742000000000001</v>
      </c>
      <c r="H106" s="46">
        <v>-8.3659999999999997</v>
      </c>
      <c r="I106" s="46">
        <v>-185.768</v>
      </c>
      <c r="J106" s="46">
        <v>0</v>
      </c>
    </row>
    <row r="107" spans="1:12" outlineLevel="1" x14ac:dyDescent="0.3">
      <c r="A107" s="138" t="s">
        <v>318</v>
      </c>
      <c r="B107" s="137"/>
      <c r="C107" s="46">
        <v>0</v>
      </c>
      <c r="D107" s="46">
        <v>0</v>
      </c>
      <c r="E107" s="46">
        <v>0</v>
      </c>
      <c r="F107" s="46">
        <v>0</v>
      </c>
      <c r="G107" s="46">
        <v>0</v>
      </c>
      <c r="H107" s="46">
        <v>0</v>
      </c>
      <c r="I107" s="46">
        <v>-101.157</v>
      </c>
      <c r="J107" s="46">
        <v>-99.924000000000007</v>
      </c>
    </row>
    <row r="108" spans="1:12" outlineLevel="1" x14ac:dyDescent="0.3">
      <c r="A108" s="138" t="s">
        <v>319</v>
      </c>
      <c r="B108" s="137"/>
      <c r="C108" s="46">
        <v>0</v>
      </c>
      <c r="D108" s="46">
        <v>0</v>
      </c>
      <c r="E108" s="46">
        <v>0</v>
      </c>
      <c r="F108" s="46">
        <v>0</v>
      </c>
      <c r="G108" s="46">
        <v>0</v>
      </c>
      <c r="H108" s="46">
        <v>4.5</v>
      </c>
      <c r="I108" s="46">
        <v>0</v>
      </c>
      <c r="J108" s="46">
        <v>0</v>
      </c>
    </row>
    <row r="109" spans="1:12" s="25" customFormat="1" ht="13" x14ac:dyDescent="0.3">
      <c r="A109" s="130" t="s">
        <v>115</v>
      </c>
      <c r="B109" s="130"/>
      <c r="C109" s="80">
        <f t="shared" ref="C109:G109" si="20">IFERROR(C101+C102+C103+C104+C105+C106+C107+C108,"n.a.")</f>
        <v>-192.65800000000002</v>
      </c>
      <c r="D109" s="80">
        <f t="shared" si="20"/>
        <v>-211.81300000000002</v>
      </c>
      <c r="E109" s="80">
        <f t="shared" si="20"/>
        <v>-576.23399999999992</v>
      </c>
      <c r="F109" s="80">
        <f t="shared" si="20"/>
        <v>-714.20400000000006</v>
      </c>
      <c r="G109" s="80">
        <f t="shared" si="20"/>
        <v>-946.46600000000001</v>
      </c>
      <c r="H109" s="80">
        <f>IFERROR(H101+H102+H103+H104+H105+H106+H107+H108,"n.a.")</f>
        <v>-35.081000000000003</v>
      </c>
      <c r="I109" s="80">
        <f>IFERROR(I99+I100+I101+I102+I103+I104+I105+I106+I107+I108,"n.a.")</f>
        <v>-331.06099999999981</v>
      </c>
      <c r="J109" s="80">
        <f>IFERROR(J99+J100+J101+J102+J103+J104+J105+J106+J107+J108,"n.a.")</f>
        <v>439.3979999999998</v>
      </c>
    </row>
    <row r="110" spans="1:12" x14ac:dyDescent="0.3">
      <c r="A110" s="143"/>
      <c r="B110" s="143"/>
      <c r="C110" s="144"/>
      <c r="D110" s="144"/>
      <c r="E110" s="144"/>
      <c r="F110" s="144"/>
      <c r="G110" s="144"/>
      <c r="H110" s="144"/>
      <c r="I110" s="144"/>
      <c r="J110" s="144"/>
    </row>
    <row r="111" spans="1:12" s="25" customFormat="1" ht="13" x14ac:dyDescent="0.3">
      <c r="A111" s="135" t="s">
        <v>116</v>
      </c>
      <c r="B111" s="135"/>
      <c r="C111" s="45">
        <v>-27.045999999999999</v>
      </c>
      <c r="D111" s="45">
        <v>0.91900000000000004</v>
      </c>
      <c r="E111" s="45">
        <v>0</v>
      </c>
      <c r="F111" s="45">
        <v>29.869</v>
      </c>
      <c r="G111" s="45">
        <v>-135.59700000000001</v>
      </c>
      <c r="H111" s="45">
        <v>37.100999999999999</v>
      </c>
      <c r="I111" s="45">
        <v>0</v>
      </c>
      <c r="J111" s="45">
        <v>0</v>
      </c>
    </row>
    <row r="112" spans="1:12" s="25" customFormat="1" ht="13" x14ac:dyDescent="0.3">
      <c r="A112" s="126" t="s">
        <v>117</v>
      </c>
      <c r="B112" s="126"/>
      <c r="C112" s="106">
        <f t="shared" ref="C112:J112" si="21">IFERROR(C75+C97+C109+C111,"n.a.")</f>
        <v>357.28299999999984</v>
      </c>
      <c r="D112" s="106">
        <f t="shared" si="21"/>
        <v>295.83899999999994</v>
      </c>
      <c r="E112" s="106">
        <f t="shared" si="21"/>
        <v>556.31500000000005</v>
      </c>
      <c r="F112" s="106">
        <f t="shared" si="21"/>
        <v>516.2940000000001</v>
      </c>
      <c r="G112" s="106">
        <f t="shared" si="21"/>
        <v>-342.79008642764995</v>
      </c>
      <c r="H112" s="106">
        <f t="shared" si="21"/>
        <v>250.15799999999967</v>
      </c>
      <c r="I112" s="106">
        <f t="shared" si="21"/>
        <v>315.86600000000055</v>
      </c>
      <c r="J112" s="106">
        <f t="shared" si="21"/>
        <v>806.06899999999973</v>
      </c>
    </row>
    <row r="113" spans="1:12" x14ac:dyDescent="0.3">
      <c r="A113" s="143"/>
      <c r="B113" s="143"/>
      <c r="C113" s="144"/>
      <c r="D113" s="144"/>
      <c r="E113" s="144"/>
      <c r="F113" s="144"/>
      <c r="G113" s="144"/>
      <c r="H113" s="144"/>
      <c r="I113" s="144"/>
      <c r="J113" s="144"/>
    </row>
    <row r="114" spans="1:12" s="25" customFormat="1" ht="13" x14ac:dyDescent="0.3">
      <c r="A114" s="193" t="s">
        <v>270</v>
      </c>
      <c r="B114" s="135"/>
      <c r="C114" s="45">
        <v>599.30100000000004</v>
      </c>
      <c r="D114" s="81">
        <f>C117</f>
        <v>892.57299999999987</v>
      </c>
      <c r="E114" s="45">
        <v>817.76700000000005</v>
      </c>
      <c r="F114" s="45">
        <v>1094.4570000000001</v>
      </c>
      <c r="G114" s="81">
        <f>F117</f>
        <v>1523.9280000000001</v>
      </c>
      <c r="H114" s="85">
        <f>G117-0.015</f>
        <v>1109.63991357235</v>
      </c>
      <c r="I114" s="85">
        <f>H117</f>
        <v>1303.8519135723498</v>
      </c>
      <c r="J114" s="85">
        <f>I117</f>
        <v>1600.6259135723503</v>
      </c>
      <c r="L114" s="244"/>
    </row>
    <row r="115" spans="1:12" x14ac:dyDescent="0.3">
      <c r="A115" s="137" t="s">
        <v>11</v>
      </c>
      <c r="B115" s="137"/>
      <c r="C115" s="46">
        <v>-64.010999999999996</v>
      </c>
      <c r="D115" s="46">
        <v>-69.855999999999995</v>
      </c>
      <c r="E115" s="46">
        <v>23.297999999999998</v>
      </c>
      <c r="F115" s="46">
        <v>-86.822999999999993</v>
      </c>
      <c r="G115" s="46">
        <v>-71.483000000000004</v>
      </c>
      <c r="H115" s="46">
        <v>-55.945999999999998</v>
      </c>
      <c r="I115" s="46">
        <v>-19.091999999999999</v>
      </c>
      <c r="J115" s="46">
        <v>-137.01300000000001</v>
      </c>
    </row>
    <row r="116" spans="1:12" x14ac:dyDescent="0.3">
      <c r="A116" s="137" t="s">
        <v>10</v>
      </c>
      <c r="B116" s="137"/>
      <c r="C116" s="46">
        <v>0</v>
      </c>
      <c r="D116" s="46">
        <v>-277.65899999999999</v>
      </c>
      <c r="E116" s="46">
        <v>0</v>
      </c>
      <c r="F116" s="46">
        <v>0</v>
      </c>
      <c r="G116" s="46">
        <v>0</v>
      </c>
      <c r="H116" s="46">
        <v>0</v>
      </c>
      <c r="I116" s="46">
        <v>0</v>
      </c>
      <c r="J116" s="46">
        <v>0</v>
      </c>
    </row>
    <row r="117" spans="1:12" ht="13" x14ac:dyDescent="0.3">
      <c r="A117" s="126" t="s">
        <v>9</v>
      </c>
      <c r="B117" s="126"/>
      <c r="C117" s="106">
        <f t="shared" ref="C117:H117" si="22">IFERROR(C112+C114+C115+C116,"n.a.")</f>
        <v>892.57299999999987</v>
      </c>
      <c r="D117" s="106">
        <f t="shared" si="22"/>
        <v>840.89699999999982</v>
      </c>
      <c r="E117" s="106">
        <f t="shared" si="22"/>
        <v>1397.38</v>
      </c>
      <c r="F117" s="106">
        <f t="shared" si="22"/>
        <v>1523.9280000000001</v>
      </c>
      <c r="G117" s="106">
        <f t="shared" si="22"/>
        <v>1109.6549135723501</v>
      </c>
      <c r="H117" s="106">
        <f t="shared" si="22"/>
        <v>1303.8519135723498</v>
      </c>
      <c r="I117" s="106">
        <f t="shared" ref="I117:J117" si="23">IFERROR(I112+I114+I115+I116,"n.a.")</f>
        <v>1600.6259135723503</v>
      </c>
      <c r="J117" s="106">
        <f t="shared" si="23"/>
        <v>2269.6819135723499</v>
      </c>
    </row>
    <row r="120" spans="1:12" s="63" customFormat="1" ht="11.25" customHeight="1" x14ac:dyDescent="0.3">
      <c r="A120" s="260" t="s">
        <v>245</v>
      </c>
      <c r="B120" s="260"/>
      <c r="C120" s="260"/>
      <c r="D120" s="260"/>
      <c r="E120" s="260"/>
      <c r="F120" s="260"/>
      <c r="G120" s="260"/>
      <c r="H120" s="260"/>
      <c r="I120" s="260"/>
      <c r="J120" s="260"/>
      <c r="K120" s="260"/>
    </row>
    <row r="121" spans="1:12" ht="25.5" customHeight="1" x14ac:dyDescent="0.3">
      <c r="A121" s="260" t="s">
        <v>271</v>
      </c>
      <c r="B121" s="260"/>
      <c r="C121" s="260"/>
      <c r="D121" s="260"/>
      <c r="E121" s="260"/>
      <c r="F121" s="260"/>
      <c r="G121" s="260"/>
      <c r="H121" s="260"/>
      <c r="I121" s="260"/>
      <c r="J121" s="260"/>
      <c r="K121" s="260"/>
    </row>
  </sheetData>
  <mergeCells count="2">
    <mergeCell ref="A120:K120"/>
    <mergeCell ref="A121:K121"/>
  </mergeCells>
  <pageMargins left="0" right="0" top="0" bottom="0" header="0" footer="0"/>
  <pageSetup paperSize="9" scale="59" orientation="portrait" r:id="rId1"/>
  <ignoredErrors>
    <ignoredError sqref="H114 F12 H15 I13"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Z122"/>
  <sheetViews>
    <sheetView showGridLines="0" zoomScale="90" zoomScaleNormal="90" zoomScaleSheetLayoutView="100" workbookViewId="0">
      <pane xSplit="2" ySplit="6" topLeftCell="I7" activePane="bottomRight" state="frozen"/>
      <selection activeCell="L10" sqref="L10"/>
      <selection pane="topRight" activeCell="L10" sqref="L10"/>
      <selection pane="bottomLeft" activeCell="L10" sqref="L10"/>
      <selection pane="bottomRight"/>
    </sheetView>
  </sheetViews>
  <sheetFormatPr defaultColWidth="9" defaultRowHeight="12.5" outlineLevelRow="3" outlineLevelCol="1" x14ac:dyDescent="0.3"/>
  <cols>
    <col min="1" max="1" width="75.58203125" style="2" customWidth="1"/>
    <col min="2" max="2" width="4.58203125" style="2" customWidth="1"/>
    <col min="3" max="9" width="10.58203125" style="41" hidden="1" customWidth="1" outlineLevel="1"/>
    <col min="10" max="10" width="10.58203125" style="41" hidden="1" customWidth="1" outlineLevel="1" collapsed="1"/>
    <col min="11" max="14" width="10.58203125" style="41" hidden="1" customWidth="1" outlineLevel="1"/>
    <col min="15" max="15" width="10.58203125" style="41" customWidth="1" collapsed="1"/>
    <col min="16" max="22" width="10.58203125" style="41" customWidth="1"/>
    <col min="23" max="23" width="2.58203125" style="2" customWidth="1"/>
    <col min="24" max="24" width="18.08203125" style="2" bestFit="1" customWidth="1"/>
    <col min="25" max="16384" width="9" style="2"/>
  </cols>
  <sheetData>
    <row r="1" spans="1:24" s="9" customFormat="1" ht="27.75" customHeight="1" x14ac:dyDescent="0.3">
      <c r="A1" s="9" t="s">
        <v>198</v>
      </c>
      <c r="C1" s="10"/>
      <c r="D1" s="10"/>
      <c r="E1" s="10"/>
      <c r="F1" s="10"/>
      <c r="G1" s="10"/>
      <c r="H1" s="10"/>
      <c r="I1" s="10"/>
      <c r="J1" s="10"/>
      <c r="K1" s="10"/>
      <c r="L1" s="10"/>
      <c r="M1" s="10"/>
      <c r="N1" s="10"/>
      <c r="O1" s="10"/>
      <c r="P1" s="10"/>
      <c r="Q1" s="10"/>
      <c r="R1" s="10"/>
      <c r="S1" s="10"/>
      <c r="T1" s="10"/>
      <c r="U1" s="10"/>
      <c r="V1" s="10"/>
    </row>
    <row r="2" spans="1:24" x14ac:dyDescent="0.3">
      <c r="A2" s="33" t="s">
        <v>192</v>
      </c>
      <c r="B2" s="11"/>
      <c r="N2" s="223"/>
    </row>
    <row r="4" spans="1:24" ht="13.5" thickBot="1" x14ac:dyDescent="0.35">
      <c r="A4" s="12" t="s">
        <v>150</v>
      </c>
      <c r="B4" s="12"/>
      <c r="C4" s="14" t="s">
        <v>164</v>
      </c>
      <c r="D4" s="14" t="s">
        <v>163</v>
      </c>
      <c r="E4" s="14" t="s">
        <v>121</v>
      </c>
      <c r="F4" s="14" t="s">
        <v>26</v>
      </c>
      <c r="G4" s="14" t="s">
        <v>168</v>
      </c>
      <c r="H4" s="176" t="s">
        <v>166</v>
      </c>
      <c r="I4" s="14" t="s">
        <v>122</v>
      </c>
      <c r="J4" s="14" t="s">
        <v>162</v>
      </c>
      <c r="K4" s="14" t="s">
        <v>236</v>
      </c>
      <c r="L4" s="176" t="s">
        <v>252</v>
      </c>
      <c r="M4" s="176" t="s">
        <v>263</v>
      </c>
      <c r="N4" s="14" t="s">
        <v>265</v>
      </c>
      <c r="O4" s="14" t="s">
        <v>275</v>
      </c>
      <c r="P4" s="14" t="s">
        <v>303</v>
      </c>
      <c r="Q4" s="14" t="s">
        <v>308</v>
      </c>
      <c r="R4" s="14" t="s">
        <v>309</v>
      </c>
      <c r="S4" s="14" t="s">
        <v>324</v>
      </c>
      <c r="T4" s="14" t="s">
        <v>334</v>
      </c>
      <c r="U4" s="14" t="s">
        <v>337</v>
      </c>
      <c r="V4" s="14" t="s">
        <v>338</v>
      </c>
    </row>
    <row r="5" spans="1:24" x14ac:dyDescent="0.3">
      <c r="C5" s="41" t="s">
        <v>191</v>
      </c>
      <c r="D5" s="133" t="s">
        <v>178</v>
      </c>
      <c r="E5" s="41" t="s">
        <v>191</v>
      </c>
      <c r="F5" s="41" t="s">
        <v>191</v>
      </c>
      <c r="G5" s="133" t="s">
        <v>177</v>
      </c>
      <c r="H5" s="133" t="s">
        <v>178</v>
      </c>
      <c r="I5" s="133" t="s">
        <v>177</v>
      </c>
      <c r="J5" s="133" t="s">
        <v>177</v>
      </c>
      <c r="K5" s="133" t="s">
        <v>177</v>
      </c>
      <c r="L5" s="133" t="s">
        <v>177</v>
      </c>
      <c r="M5" s="133" t="s">
        <v>177</v>
      </c>
      <c r="N5" s="133" t="s">
        <v>177</v>
      </c>
      <c r="O5" s="133" t="s">
        <v>177</v>
      </c>
      <c r="P5" s="133" t="s">
        <v>177</v>
      </c>
      <c r="Q5" s="133" t="s">
        <v>177</v>
      </c>
      <c r="R5" s="133" t="s">
        <v>177</v>
      </c>
      <c r="S5" s="133" t="s">
        <v>177</v>
      </c>
      <c r="T5" s="133" t="s">
        <v>177</v>
      </c>
      <c r="U5" s="133" t="s">
        <v>177</v>
      </c>
      <c r="V5" s="133" t="s">
        <v>177</v>
      </c>
    </row>
    <row r="7" spans="1:24" x14ac:dyDescent="0.3">
      <c r="A7" s="171" t="s">
        <v>233</v>
      </c>
      <c r="B7" s="147"/>
      <c r="C7" s="78">
        <f>ROUND('Fin. Highlights - interim'!C14,1)</f>
        <v>261.5</v>
      </c>
      <c r="D7" s="78">
        <f>ROUND('Fin. Highlights - interim'!E14,1)</f>
        <v>529.9</v>
      </c>
      <c r="E7" s="78">
        <f>ROUND('Fin. Highlights - interim'!G14,1)</f>
        <v>801.4</v>
      </c>
      <c r="F7" s="78">
        <f>ROUND('Fin. Highlights - interim'!I14,1)</f>
        <v>1082.3</v>
      </c>
      <c r="G7" s="78">
        <f>ROUND('Fin. Highlights - interim'!J14,1)</f>
        <v>270.39999999999998</v>
      </c>
      <c r="H7" s="77">
        <f>ROUND('Fin. Highlights - interim'!L14,1)</f>
        <v>546.4</v>
      </c>
      <c r="I7" s="78">
        <f>ROUND('Fin. Highlights - interim'!N14,1)</f>
        <v>836.3</v>
      </c>
      <c r="J7" s="78">
        <f>ROUND('Fin. Highlights - interim'!P14,1)</f>
        <v>1137.7</v>
      </c>
      <c r="K7" s="78">
        <f>ROUND('Fin. Highlights - interim'!Q14,1)</f>
        <v>288.10000000000002</v>
      </c>
      <c r="L7" s="78">
        <f>ROUND('Fin. Highlights - interim'!S14,1)</f>
        <v>587.9</v>
      </c>
      <c r="M7" s="78">
        <f>ROUND('Fin. Highlights - interim'!U14,1)</f>
        <v>907.7</v>
      </c>
      <c r="N7" s="78">
        <f>ROUND('Fin. Highlights - interim'!W14,1)</f>
        <v>1234.7</v>
      </c>
      <c r="O7" s="78">
        <f>ROUND('Fin. Highlights - interim'!X14,1)</f>
        <v>315.60000000000002</v>
      </c>
      <c r="P7" s="78">
        <f>ROUND('Fin. Highlights - interim'!Z14,1)</f>
        <v>636.1</v>
      </c>
      <c r="Q7" s="78">
        <f>ROUND('Fin. Highlights - interim'!AB14,1)+0.1</f>
        <v>978.6</v>
      </c>
      <c r="R7" s="78">
        <f>ROUND('Fin. Highlights - interim'!AD14-0.05,1)</f>
        <v>1310</v>
      </c>
      <c r="S7" s="78">
        <f>ROUND('Fin. Highlights - interim'!AE14,1)</f>
        <v>244.2</v>
      </c>
      <c r="T7" s="78">
        <f>ROUND('Fin. Highlights - interim'!AG14,1)</f>
        <v>267.89999999999998</v>
      </c>
      <c r="U7" s="78">
        <f>ROUND('Fin. Highlights - interim'!AI14,1)</f>
        <v>577.29999999999995</v>
      </c>
      <c r="V7" s="78">
        <f>ROUND('Fin. Highlights - interim'!AK14,1)</f>
        <v>892.6</v>
      </c>
    </row>
    <row r="8" spans="1:24" x14ac:dyDescent="0.3">
      <c r="A8" s="138" t="s">
        <v>35</v>
      </c>
      <c r="B8" s="147"/>
      <c r="C8" s="46">
        <v>-70</v>
      </c>
      <c r="D8" s="46">
        <v>-147.80000000000001</v>
      </c>
      <c r="E8" s="46">
        <v>-221.9</v>
      </c>
      <c r="F8" s="78">
        <f>'Cash Flow - FY'!F8</f>
        <v>-342.3</v>
      </c>
      <c r="G8" s="46">
        <v>-98.3</v>
      </c>
      <c r="H8" s="46">
        <v>-215.7</v>
      </c>
      <c r="I8" s="46">
        <v>-327.60000000000002</v>
      </c>
      <c r="J8" s="78">
        <f>'Cash Flow - FY'!G8</f>
        <v>-489.35199999999998</v>
      </c>
      <c r="K8" s="46">
        <v>-85.3</v>
      </c>
      <c r="L8" s="46">
        <v>-179.2</v>
      </c>
      <c r="M8" s="71">
        <v>-296.7</v>
      </c>
      <c r="N8" s="78">
        <f>'Cash Flow - FY'!H8</f>
        <v>-463.44099999999997</v>
      </c>
      <c r="O8" s="84">
        <f>IFERROR(O77+O82,"n.a.")</f>
        <v>-77.983999999999995</v>
      </c>
      <c r="P8" s="84">
        <f>IFERROR(P77+P82,"n.a.")</f>
        <v>-167.71899999999999</v>
      </c>
      <c r="Q8" s="84">
        <f>IFERROR(Q77+Q82,"n.a.")</f>
        <v>-242.33699999999999</v>
      </c>
      <c r="R8" s="78">
        <f>'Cash Flow - FY'!I8</f>
        <v>-390.51100000000002</v>
      </c>
      <c r="S8" s="84">
        <f>IFERROR(S77+S82,"n.a.")</f>
        <v>-56.567999999999998</v>
      </c>
      <c r="T8" s="84">
        <f>IFERROR(T77+T82,"n.a.")</f>
        <v>-81.408999999999992</v>
      </c>
      <c r="U8" s="84">
        <f>IFERROR(U77+U82,"n.a.")</f>
        <v>-106.09700000000001</v>
      </c>
      <c r="V8" s="78">
        <f>'Cash Flow - FY'!J8</f>
        <v>-140.035</v>
      </c>
      <c r="X8" s="174"/>
    </row>
    <row r="9" spans="1:24" x14ac:dyDescent="0.3">
      <c r="A9" s="138" t="s">
        <v>323</v>
      </c>
      <c r="B9" s="147"/>
      <c r="C9" s="46">
        <v>0</v>
      </c>
      <c r="D9" s="46">
        <v>0</v>
      </c>
      <c r="E9" s="46">
        <v>0</v>
      </c>
      <c r="F9" s="78">
        <f>'Cash Flow - FY'!F9</f>
        <v>0</v>
      </c>
      <c r="G9" s="46">
        <v>0</v>
      </c>
      <c r="H9" s="46">
        <v>0</v>
      </c>
      <c r="I9" s="46">
        <v>0</v>
      </c>
      <c r="J9" s="78">
        <f>'Cash Flow - FY'!G9</f>
        <v>0</v>
      </c>
      <c r="K9" s="46">
        <v>0</v>
      </c>
      <c r="L9" s="46">
        <v>0</v>
      </c>
      <c r="M9" s="71">
        <v>0</v>
      </c>
      <c r="N9" s="78">
        <f>'Cash Flow - FY'!H9</f>
        <v>0</v>
      </c>
      <c r="O9" s="46">
        <v>-3.2</v>
      </c>
      <c r="P9" s="46">
        <v>-17.2</v>
      </c>
      <c r="Q9" s="46">
        <v>-25.7</v>
      </c>
      <c r="R9" s="78">
        <f>'Cash Flow - FY'!I9</f>
        <v>-51.2</v>
      </c>
      <c r="S9" s="46">
        <v>-22.9</v>
      </c>
      <c r="T9" s="46">
        <v>-47</v>
      </c>
      <c r="U9" s="46">
        <v>-62.2</v>
      </c>
      <c r="V9" s="78">
        <f>'Cash Flow - FY'!J9</f>
        <v>-68.5</v>
      </c>
    </row>
    <row r="10" spans="1:24" x14ac:dyDescent="0.3">
      <c r="A10" s="32" t="s">
        <v>179</v>
      </c>
      <c r="B10" s="148"/>
      <c r="C10" s="71">
        <v>-783.8</v>
      </c>
      <c r="D10" s="71">
        <v>-713.7</v>
      </c>
      <c r="E10" s="71">
        <v>-777.5</v>
      </c>
      <c r="F10" s="77">
        <f>'Cash Flow - FY'!F10</f>
        <v>31.5</v>
      </c>
      <c r="G10" s="71">
        <v>-892.2</v>
      </c>
      <c r="H10" s="71">
        <v>-768.3</v>
      </c>
      <c r="I10" s="71">
        <v>-900.1</v>
      </c>
      <c r="J10" s="77">
        <f>'Cash Flow - FY'!G10</f>
        <v>123.8</v>
      </c>
      <c r="K10" s="71">
        <v>-928.80000000000007</v>
      </c>
      <c r="L10" s="71">
        <v>-997.7</v>
      </c>
      <c r="M10" s="71">
        <v>-1245.0999999999999</v>
      </c>
      <c r="N10" s="77">
        <f>'Cash Flow - FY'!H10</f>
        <v>-388.2</v>
      </c>
      <c r="O10" s="71">
        <v>-836</v>
      </c>
      <c r="P10" s="46">
        <v>-825.9</v>
      </c>
      <c r="Q10" s="46">
        <v>-962.7</v>
      </c>
      <c r="R10" s="77">
        <f>'Cash Flow - FY'!I10</f>
        <v>-60.800000000000004</v>
      </c>
      <c r="S10" s="71">
        <v>-861.2</v>
      </c>
      <c r="T10" s="46">
        <v>-729.3</v>
      </c>
      <c r="U10" s="46">
        <v>-902.3</v>
      </c>
      <c r="V10" s="77">
        <f>'Cash Flow - FY'!J10</f>
        <v>-92.8</v>
      </c>
    </row>
    <row r="11" spans="1:24" ht="13" x14ac:dyDescent="0.3">
      <c r="A11" s="42" t="s">
        <v>160</v>
      </c>
      <c r="B11" s="149"/>
      <c r="C11" s="122">
        <f t="shared" ref="C11:Q11" si="0">IFERROR(C7+C8+C9+C10,"n.a")</f>
        <v>-592.29999999999995</v>
      </c>
      <c r="D11" s="122">
        <f t="shared" si="0"/>
        <v>-331.60000000000008</v>
      </c>
      <c r="E11" s="122">
        <f t="shared" si="0"/>
        <v>-198</v>
      </c>
      <c r="F11" s="122">
        <f t="shared" si="0"/>
        <v>771.5</v>
      </c>
      <c r="G11" s="122">
        <f t="shared" si="0"/>
        <v>-720.10000000000014</v>
      </c>
      <c r="H11" s="122">
        <f t="shared" si="0"/>
        <v>-437.59999999999997</v>
      </c>
      <c r="I11" s="122">
        <f t="shared" si="0"/>
        <v>-391.40000000000009</v>
      </c>
      <c r="J11" s="122">
        <f t="shared" si="0"/>
        <v>772.14800000000002</v>
      </c>
      <c r="K11" s="122">
        <f t="shared" si="0"/>
        <v>-726</v>
      </c>
      <c r="L11" s="122">
        <f t="shared" si="0"/>
        <v>-589</v>
      </c>
      <c r="M11" s="122">
        <f t="shared" si="0"/>
        <v>-634.09999999999991</v>
      </c>
      <c r="N11" s="122">
        <f t="shared" si="0"/>
        <v>383.05900000000003</v>
      </c>
      <c r="O11" s="122">
        <f t="shared" si="0"/>
        <v>-601.58399999999995</v>
      </c>
      <c r="P11" s="122">
        <f t="shared" si="0"/>
        <v>-374.71899999999994</v>
      </c>
      <c r="Q11" s="122">
        <f t="shared" si="0"/>
        <v>-252.13700000000006</v>
      </c>
      <c r="R11" s="122">
        <f>IFERROR(R7+R8+R9+R10,"n.a")</f>
        <v>807.48900000000003</v>
      </c>
      <c r="S11" s="122">
        <f t="shared" ref="S11:T11" si="1">IFERROR(S7+S8+S9+S10,"n.a")</f>
        <v>-696.46800000000007</v>
      </c>
      <c r="T11" s="122">
        <f t="shared" si="1"/>
        <v>-589.80899999999997</v>
      </c>
      <c r="U11" s="122">
        <f t="shared" ref="U11" si="2">IFERROR(U7+U8+U9+U10,"n.a")</f>
        <v>-493.29699999999997</v>
      </c>
      <c r="V11" s="122">
        <f>IFERROR(V7+V8+V9+V10,"n.a")</f>
        <v>591.2650000000001</v>
      </c>
    </row>
    <row r="12" spans="1:24" x14ac:dyDescent="0.3">
      <c r="A12" s="32" t="s">
        <v>19</v>
      </c>
      <c r="B12" s="148"/>
      <c r="C12" s="83">
        <f>C65</f>
        <v>-26.7</v>
      </c>
      <c r="D12" s="83">
        <f>D65</f>
        <v>-59.9</v>
      </c>
      <c r="E12" s="83">
        <f>E65</f>
        <v>-95.5</v>
      </c>
      <c r="F12" s="77">
        <f>'Cash Flow - FY'!F12</f>
        <v>-104.40600000000001</v>
      </c>
      <c r="G12" s="83">
        <f>G65</f>
        <v>-45.664000000000001</v>
      </c>
      <c r="H12" s="71">
        <v>-51.8</v>
      </c>
      <c r="I12" s="71">
        <v>-116.9</v>
      </c>
      <c r="J12" s="77">
        <f>'Cash Flow - FY'!G12</f>
        <v>-135.5</v>
      </c>
      <c r="K12" s="83">
        <f>K65</f>
        <v>-31.077999999999999</v>
      </c>
      <c r="L12" s="83">
        <f>L65</f>
        <v>-67.25</v>
      </c>
      <c r="M12" s="83">
        <f>M65</f>
        <v>-101.11799999999999</v>
      </c>
      <c r="N12" s="77">
        <f>'Cash Flow - FY'!H12</f>
        <v>-119.042</v>
      </c>
      <c r="O12" s="83">
        <f>O65</f>
        <v>-30.146999999999998</v>
      </c>
      <c r="P12" s="83">
        <f>P65</f>
        <v>-75.992000000000004</v>
      </c>
      <c r="Q12" s="83">
        <f>Q65</f>
        <v>-113.379</v>
      </c>
      <c r="R12" s="77">
        <f>'Cash Flow - FY'!I12</f>
        <v>-141.98500000000001</v>
      </c>
      <c r="S12" s="83">
        <f>S65</f>
        <v>-31.42</v>
      </c>
      <c r="T12" s="83">
        <f>T65</f>
        <v>-53.774000000000001</v>
      </c>
      <c r="U12" s="83">
        <f>U65</f>
        <v>-69.97</v>
      </c>
      <c r="V12" s="83">
        <f>V65</f>
        <v>-90.691999999999993</v>
      </c>
    </row>
    <row r="13" spans="1:24" x14ac:dyDescent="0.3">
      <c r="A13" s="32" t="s">
        <v>123</v>
      </c>
      <c r="B13" s="148"/>
      <c r="C13" s="83">
        <f t="shared" ref="C13:E13" si="3">IFERROR(-C57-C58,"n.a.")</f>
        <v>-133.76499999999999</v>
      </c>
      <c r="D13" s="83">
        <f t="shared" si="3"/>
        <v>-252.44499999999999</v>
      </c>
      <c r="E13" s="83">
        <f t="shared" si="3"/>
        <v>-351.56599999999997</v>
      </c>
      <c r="F13" s="77">
        <f>'Cash Flow - FY'!F13</f>
        <v>-427.19</v>
      </c>
      <c r="G13" s="83">
        <f t="shared" ref="G13:I13" si="4">IFERROR(-G57-G58,"n.a.")</f>
        <v>-76.962999999999994</v>
      </c>
      <c r="H13" s="83">
        <f t="shared" si="4"/>
        <v>-226.35599999999999</v>
      </c>
      <c r="I13" s="83">
        <f t="shared" si="4"/>
        <v>-289.94799999999998</v>
      </c>
      <c r="J13" s="77">
        <f>'Cash Flow - FY'!G13</f>
        <v>-362.61</v>
      </c>
      <c r="K13" s="83">
        <f t="shared" ref="K13:M13" si="5">IFERROR(-K57-K58,"n.a.")</f>
        <v>-55.185000000000002</v>
      </c>
      <c r="L13" s="83">
        <f t="shared" si="5"/>
        <v>-117.946</v>
      </c>
      <c r="M13" s="83">
        <f t="shared" si="5"/>
        <v>-138.79900000000001</v>
      </c>
      <c r="N13" s="77">
        <f>'Cash Flow - FY'!H13</f>
        <v>-196.31100000000001</v>
      </c>
      <c r="O13" s="83">
        <f>IFERROR(-O56,"n.a.")</f>
        <v>-48.051000000000002</v>
      </c>
      <c r="P13" s="71">
        <f>-99.8-10</f>
        <v>-109.8</v>
      </c>
      <c r="Q13" s="71">
        <v>-175.8</v>
      </c>
      <c r="R13" s="77">
        <f>'Cash Flow - FY'!I13</f>
        <v>-109.37900000000002</v>
      </c>
      <c r="S13" s="83">
        <f t="shared" ref="S13:V13" si="6">IFERROR(-S56,"n.a.")</f>
        <v>-32.472999999999985</v>
      </c>
      <c r="T13" s="83">
        <f t="shared" si="6"/>
        <v>-73.150000000000006</v>
      </c>
      <c r="U13" s="83">
        <f t="shared" si="6"/>
        <v>-113.31700000000001</v>
      </c>
      <c r="V13" s="83">
        <f t="shared" si="6"/>
        <v>-156.50200000000001</v>
      </c>
    </row>
    <row r="14" spans="1:24" x14ac:dyDescent="0.3">
      <c r="A14" s="32" t="s">
        <v>124</v>
      </c>
      <c r="B14" s="148"/>
      <c r="C14" s="71">
        <v>-85.6</v>
      </c>
      <c r="D14" s="71">
        <v>12.600000000000023</v>
      </c>
      <c r="E14" s="71">
        <v>19.3</v>
      </c>
      <c r="F14" s="77">
        <f>'Cash Flow - FY'!F14</f>
        <v>96.4</v>
      </c>
      <c r="G14" s="71">
        <v>-38.899999999999977</v>
      </c>
      <c r="H14" s="71">
        <v>-40.9</v>
      </c>
      <c r="I14" s="71">
        <v>-70.7</v>
      </c>
      <c r="J14" s="77">
        <f>'Cash Flow - FY'!G14</f>
        <v>-84</v>
      </c>
      <c r="K14" s="71">
        <v>-49.9</v>
      </c>
      <c r="L14" s="71">
        <v>-55.4</v>
      </c>
      <c r="M14" s="71">
        <v>-87.1</v>
      </c>
      <c r="N14" s="77">
        <f>'Cash Flow - FY'!H14</f>
        <v>-154.80000000000001</v>
      </c>
      <c r="O14" s="71">
        <v>-15.95</v>
      </c>
      <c r="P14" s="46">
        <v>-62.6</v>
      </c>
      <c r="Q14" s="46">
        <v>-70.199999999999989</v>
      </c>
      <c r="R14" s="77">
        <f>'Cash Flow - FY'!I14</f>
        <v>-194.6</v>
      </c>
      <c r="S14" s="71">
        <v>6.9</v>
      </c>
      <c r="T14" s="71">
        <v>-40.799999999999997</v>
      </c>
      <c r="U14" s="71">
        <v>-68.7</v>
      </c>
      <c r="V14" s="77"/>
    </row>
    <row r="15" spans="1:24" s="25" customFormat="1" ht="13" x14ac:dyDescent="0.3">
      <c r="A15" s="42" t="s">
        <v>343</v>
      </c>
      <c r="B15" s="149"/>
      <c r="C15" s="122">
        <f t="shared" ref="C15:V15" si="7">IFERROR(C11+C12+C13+C14,"n.a")</f>
        <v>-838.36500000000001</v>
      </c>
      <c r="D15" s="122">
        <f t="shared" si="7"/>
        <v>-631.34500000000003</v>
      </c>
      <c r="E15" s="122">
        <f t="shared" si="7"/>
        <v>-625.76600000000008</v>
      </c>
      <c r="F15" s="122">
        <f t="shared" si="7"/>
        <v>336.30400000000009</v>
      </c>
      <c r="G15" s="122">
        <f t="shared" si="7"/>
        <v>-881.62700000000007</v>
      </c>
      <c r="H15" s="122">
        <f t="shared" si="7"/>
        <v>-756.65599999999995</v>
      </c>
      <c r="I15" s="122">
        <f t="shared" si="7"/>
        <v>-868.94800000000009</v>
      </c>
      <c r="J15" s="122">
        <f t="shared" si="7"/>
        <v>190.03800000000001</v>
      </c>
      <c r="K15" s="122">
        <f t="shared" si="7"/>
        <v>-862.1629999999999</v>
      </c>
      <c r="L15" s="122">
        <f t="shared" si="7"/>
        <v>-829.596</v>
      </c>
      <c r="M15" s="122">
        <f t="shared" si="7"/>
        <v>-961.11699999999985</v>
      </c>
      <c r="N15" s="122">
        <f>IFERROR(N11+N12+N13+N14+0.05,"n.a")</f>
        <v>-87.043999999999969</v>
      </c>
      <c r="O15" s="122">
        <f t="shared" si="7"/>
        <v>-695.73200000000008</v>
      </c>
      <c r="P15" s="122">
        <f t="shared" si="7"/>
        <v>-623.11099999999999</v>
      </c>
      <c r="Q15" s="122">
        <f t="shared" si="7"/>
        <v>-611.51600000000008</v>
      </c>
      <c r="R15" s="122">
        <f t="shared" si="7"/>
        <v>361.52499999999998</v>
      </c>
      <c r="S15" s="122">
        <f t="shared" si="7"/>
        <v>-753.46100000000001</v>
      </c>
      <c r="T15" s="122">
        <f t="shared" si="7"/>
        <v>-757.5329999999999</v>
      </c>
      <c r="U15" s="122">
        <f t="shared" si="7"/>
        <v>-745.28399999999999</v>
      </c>
      <c r="V15" s="122">
        <f t="shared" si="7"/>
        <v>344.07100000000008</v>
      </c>
    </row>
    <row r="16" spans="1:24" x14ac:dyDescent="0.3">
      <c r="A16" s="32" t="s">
        <v>322</v>
      </c>
      <c r="B16" s="147"/>
      <c r="C16" s="71">
        <v>0</v>
      </c>
      <c r="D16" s="71">
        <v>0</v>
      </c>
      <c r="E16" s="71">
        <v>0</v>
      </c>
      <c r="F16" s="77">
        <v>0</v>
      </c>
      <c r="G16" s="71">
        <v>0</v>
      </c>
      <c r="H16" s="71">
        <v>0</v>
      </c>
      <c r="I16" s="71">
        <v>0</v>
      </c>
      <c r="J16" s="77">
        <f>'Cash Flow - FY'!G16</f>
        <v>10.299999999999999</v>
      </c>
      <c r="K16" s="71">
        <v>136.5</v>
      </c>
      <c r="L16" s="71">
        <v>136.69999999999999</v>
      </c>
      <c r="M16" s="71">
        <v>136.69999999999999</v>
      </c>
      <c r="N16" s="77">
        <f>'Cash Flow - FY'!H16</f>
        <v>135.29999999999998</v>
      </c>
      <c r="O16" s="71">
        <f>-17-0.2</f>
        <v>-17.2</v>
      </c>
      <c r="P16" s="46">
        <f>-17-0.4</f>
        <v>-17.399999999999999</v>
      </c>
      <c r="Q16" s="46">
        <f>-17-0.4</f>
        <v>-17.399999999999999</v>
      </c>
      <c r="R16" s="77">
        <f>'Cash Flow - FY'!I16</f>
        <v>-17.399999999999999</v>
      </c>
      <c r="S16" s="71">
        <v>0</v>
      </c>
      <c r="T16" s="71">
        <v>0</v>
      </c>
      <c r="U16" s="71">
        <v>0</v>
      </c>
      <c r="V16" s="77">
        <f>'Cash Flow - FY'!J16</f>
        <v>0</v>
      </c>
    </row>
    <row r="17" spans="1:23" x14ac:dyDescent="0.3">
      <c r="A17" s="32"/>
      <c r="B17" s="147"/>
      <c r="C17" s="71">
        <v>0</v>
      </c>
      <c r="D17" s="71">
        <v>0</v>
      </c>
      <c r="E17" s="71">
        <v>0</v>
      </c>
      <c r="F17" s="77">
        <v>0</v>
      </c>
      <c r="G17" s="71">
        <v>0</v>
      </c>
      <c r="H17" s="71">
        <v>0</v>
      </c>
      <c r="I17" s="71">
        <v>0</v>
      </c>
      <c r="J17" s="77">
        <f>'Cash Flow - FY'!G17</f>
        <v>0</v>
      </c>
      <c r="K17" s="71">
        <v>0</v>
      </c>
      <c r="L17" s="71">
        <v>0</v>
      </c>
      <c r="M17" s="71">
        <v>0</v>
      </c>
      <c r="N17" s="77">
        <f>'Cash Flow - FY'!H17</f>
        <v>0</v>
      </c>
      <c r="O17" s="71">
        <v>0</v>
      </c>
      <c r="P17" s="46">
        <v>0</v>
      </c>
      <c r="Q17" s="46">
        <v>0</v>
      </c>
      <c r="R17" s="77">
        <f>'Cash Flow - FY'!I17</f>
        <v>0</v>
      </c>
      <c r="S17" s="71">
        <v>0</v>
      </c>
      <c r="T17" s="71">
        <v>0</v>
      </c>
      <c r="U17" s="71">
        <v>0</v>
      </c>
      <c r="V17" s="77">
        <f>'Cash Flow - FY'!J17</f>
        <v>-33.700000000000003</v>
      </c>
    </row>
    <row r="18" spans="1:23" s="25" customFormat="1" ht="13" x14ac:dyDescent="0.3">
      <c r="A18" s="42" t="s">
        <v>161</v>
      </c>
      <c r="B18" s="149"/>
      <c r="C18" s="122">
        <f t="shared" ref="C18:V18" si="8">IFERROR(C15+C16+C17,"n.a")</f>
        <v>-838.36500000000001</v>
      </c>
      <c r="D18" s="122">
        <f t="shared" si="8"/>
        <v>-631.34500000000003</v>
      </c>
      <c r="E18" s="122">
        <f t="shared" si="8"/>
        <v>-625.76600000000008</v>
      </c>
      <c r="F18" s="122">
        <f t="shared" si="8"/>
        <v>336.30400000000009</v>
      </c>
      <c r="G18" s="122">
        <f t="shared" si="8"/>
        <v>-881.62700000000007</v>
      </c>
      <c r="H18" s="122">
        <f t="shared" si="8"/>
        <v>-756.65599999999995</v>
      </c>
      <c r="I18" s="122">
        <f t="shared" si="8"/>
        <v>-868.94800000000009</v>
      </c>
      <c r="J18" s="122">
        <f t="shared" si="8"/>
        <v>200.33800000000002</v>
      </c>
      <c r="K18" s="122">
        <f t="shared" si="8"/>
        <v>-725.6629999999999</v>
      </c>
      <c r="L18" s="122">
        <f t="shared" si="8"/>
        <v>-692.89599999999996</v>
      </c>
      <c r="M18" s="122">
        <f t="shared" si="8"/>
        <v>-824.41699999999992</v>
      </c>
      <c r="N18" s="122">
        <f t="shared" si="8"/>
        <v>48.256000000000014</v>
      </c>
      <c r="O18" s="122">
        <f t="shared" si="8"/>
        <v>-712.93200000000013</v>
      </c>
      <c r="P18" s="122">
        <f t="shared" si="8"/>
        <v>-640.51099999999997</v>
      </c>
      <c r="Q18" s="122">
        <f t="shared" si="8"/>
        <v>-628.91600000000005</v>
      </c>
      <c r="R18" s="122">
        <f t="shared" si="8"/>
        <v>344.125</v>
      </c>
      <c r="S18" s="122">
        <f t="shared" si="8"/>
        <v>-753.46100000000001</v>
      </c>
      <c r="T18" s="122">
        <f t="shared" si="8"/>
        <v>-757.5329999999999</v>
      </c>
      <c r="U18" s="122">
        <f t="shared" si="8"/>
        <v>-745.28399999999999</v>
      </c>
      <c r="V18" s="122">
        <f t="shared" si="8"/>
        <v>310.37100000000009</v>
      </c>
    </row>
    <row r="19" spans="1:23" ht="13" x14ac:dyDescent="0.3">
      <c r="C19" s="123"/>
      <c r="D19" s="123"/>
      <c r="E19" s="123"/>
      <c r="F19" s="123"/>
      <c r="G19" s="123"/>
      <c r="H19" s="123"/>
      <c r="I19" s="123"/>
      <c r="J19" s="123"/>
      <c r="K19" s="123"/>
      <c r="L19" s="123"/>
      <c r="M19" s="123"/>
      <c r="N19" s="123"/>
      <c r="O19" s="123"/>
      <c r="P19" s="123"/>
      <c r="Q19" s="123"/>
      <c r="R19" s="123"/>
      <c r="S19" s="123"/>
      <c r="T19" s="123"/>
      <c r="U19" s="123"/>
      <c r="V19" s="123"/>
      <c r="W19" s="25"/>
    </row>
    <row r="20" spans="1:23" ht="13" x14ac:dyDescent="0.3">
      <c r="C20" s="123"/>
      <c r="D20" s="123"/>
      <c r="E20" s="123"/>
      <c r="F20" s="123"/>
      <c r="G20" s="123"/>
      <c r="H20" s="123"/>
      <c r="I20" s="123"/>
      <c r="J20" s="123"/>
      <c r="K20" s="123"/>
      <c r="L20" s="123"/>
      <c r="M20" s="123"/>
      <c r="N20" s="123"/>
      <c r="O20" s="123"/>
      <c r="P20" s="123"/>
      <c r="Q20" s="123"/>
      <c r="R20" s="123"/>
      <c r="S20" s="123"/>
      <c r="T20" s="123"/>
      <c r="U20" s="123"/>
      <c r="V20" s="123"/>
      <c r="W20" s="25"/>
    </row>
    <row r="21" spans="1:23" ht="13" x14ac:dyDescent="0.3">
      <c r="A21" s="124" t="s">
        <v>199</v>
      </c>
      <c r="B21" s="150"/>
      <c r="C21" s="184">
        <v>5390.3</v>
      </c>
      <c r="D21" s="184">
        <v>5428.2</v>
      </c>
      <c r="E21" s="184">
        <v>5449.3</v>
      </c>
      <c r="F21" s="184">
        <v>5377.9</v>
      </c>
      <c r="G21" s="155">
        <f>ROUND('Balance Sheet - FY'!E36,1)</f>
        <v>4960.7</v>
      </c>
      <c r="H21" s="155">
        <f>ROUND('Balance Sheet - FY'!E36,1)</f>
        <v>4960.7</v>
      </c>
      <c r="I21" s="155">
        <f>ROUND('Balance Sheet - FY'!E36,1)</f>
        <v>4960.7</v>
      </c>
      <c r="J21" s="155">
        <f>ROUND('Balance Sheet - FY'!E36,1)</f>
        <v>4960.7</v>
      </c>
      <c r="K21" s="155">
        <f>ROUND('Balance Sheet - FY'!G36,1)</f>
        <v>3218.5</v>
      </c>
      <c r="L21" s="155">
        <f>ROUND('Balance Sheet - FY'!G36,1)</f>
        <v>3218.5</v>
      </c>
      <c r="M21" s="155">
        <f>ROUND('Balance Sheet - FY'!G36,1)</f>
        <v>3218.5</v>
      </c>
      <c r="N21" s="155">
        <f>ROUND('Balance Sheet - FY'!G36,1)</f>
        <v>3218.5</v>
      </c>
      <c r="O21" s="155">
        <f>ROUND('Balance Sheet - FY'!H36,1)</f>
        <v>3180.1</v>
      </c>
      <c r="P21" s="155">
        <f>ROUND('Balance Sheet - FY'!H36,1)</f>
        <v>3180.1</v>
      </c>
      <c r="Q21" s="155">
        <f>ROUND('Balance Sheet - FY'!H36,1)</f>
        <v>3180.1</v>
      </c>
      <c r="R21" s="155">
        <f>ROUND('Balance Sheet - FY'!H36,1)</f>
        <v>3180.1</v>
      </c>
      <c r="S21" s="155">
        <f>ROUND('Balance Sheet - FY'!I40,1)</f>
        <v>3507.2</v>
      </c>
      <c r="T21" s="155">
        <f>ROUND('Balance Sheet - FY'!I40,1)</f>
        <v>3507.2</v>
      </c>
      <c r="U21" s="155">
        <f>ROUND('Balance Sheet - FY'!I40,1)</f>
        <v>3507.2</v>
      </c>
      <c r="V21" s="155">
        <f>ROUND('Balance Sheet - FY'!I40,1)</f>
        <v>3507.2</v>
      </c>
      <c r="W21" s="25"/>
    </row>
    <row r="22" spans="1:23" ht="13" outlineLevel="1" x14ac:dyDescent="0.3">
      <c r="A22" s="65" t="s">
        <v>293</v>
      </c>
      <c r="B22" s="147"/>
      <c r="C22" s="71">
        <v>-59.3</v>
      </c>
      <c r="D22" s="71">
        <v>-97.2</v>
      </c>
      <c r="E22" s="71">
        <v>-118.3</v>
      </c>
      <c r="F22" s="71">
        <v>143.1</v>
      </c>
      <c r="G22" s="71">
        <v>143.1</v>
      </c>
      <c r="H22" s="71">
        <v>143.1</v>
      </c>
      <c r="I22" s="71">
        <v>143.1</v>
      </c>
      <c r="J22" s="71">
        <v>143.1</v>
      </c>
      <c r="K22" s="71">
        <v>0</v>
      </c>
      <c r="L22" s="71">
        <v>0</v>
      </c>
      <c r="M22" s="71">
        <v>0</v>
      </c>
      <c r="N22" s="71">
        <v>0</v>
      </c>
      <c r="O22" s="71">
        <v>0</v>
      </c>
      <c r="P22" s="71">
        <v>0</v>
      </c>
      <c r="Q22" s="71">
        <v>0</v>
      </c>
      <c r="R22" s="77">
        <f>'Cash Flow - FY'!I22</f>
        <v>0</v>
      </c>
      <c r="S22" s="71">
        <v>0</v>
      </c>
      <c r="T22" s="71">
        <v>0</v>
      </c>
      <c r="U22" s="71">
        <v>0</v>
      </c>
      <c r="V22" s="77">
        <f>'Cash Flow - FY'!J22</f>
        <v>0</v>
      </c>
      <c r="W22" s="25"/>
    </row>
    <row r="23" spans="1:23" ht="13" outlineLevel="1" x14ac:dyDescent="0.3">
      <c r="A23" s="65" t="s">
        <v>143</v>
      </c>
      <c r="B23" s="147"/>
      <c r="C23" s="71">
        <v>0</v>
      </c>
      <c r="D23" s="71">
        <v>0</v>
      </c>
      <c r="E23" s="71">
        <v>0</v>
      </c>
      <c r="F23" s="71">
        <v>-190</v>
      </c>
      <c r="G23" s="71">
        <v>-190</v>
      </c>
      <c r="H23" s="71">
        <v>-190</v>
      </c>
      <c r="I23" s="71">
        <v>-190</v>
      </c>
      <c r="J23" s="71">
        <v>-190</v>
      </c>
      <c r="K23" s="71">
        <v>0</v>
      </c>
      <c r="L23" s="71">
        <v>0</v>
      </c>
      <c r="M23" s="71">
        <v>0</v>
      </c>
      <c r="N23" s="71">
        <v>0</v>
      </c>
      <c r="O23" s="71">
        <v>0</v>
      </c>
      <c r="P23" s="71">
        <v>0</v>
      </c>
      <c r="Q23" s="71">
        <v>0</v>
      </c>
      <c r="R23" s="77">
        <f>'Cash Flow - FY'!I23</f>
        <v>0</v>
      </c>
      <c r="S23" s="71">
        <v>0</v>
      </c>
      <c r="T23" s="71">
        <v>0</v>
      </c>
      <c r="U23" s="71">
        <v>0</v>
      </c>
      <c r="V23" s="77">
        <f>'Cash Flow - FY'!J23</f>
        <v>0</v>
      </c>
      <c r="W23" s="25"/>
    </row>
    <row r="24" spans="1:23" ht="13" outlineLevel="1" x14ac:dyDescent="0.3">
      <c r="A24" s="65" t="s">
        <v>142</v>
      </c>
      <c r="B24" s="147"/>
      <c r="C24" s="71">
        <v>0</v>
      </c>
      <c r="D24" s="71">
        <v>0</v>
      </c>
      <c r="E24" s="71">
        <v>0</v>
      </c>
      <c r="F24" s="71">
        <v>0</v>
      </c>
      <c r="G24" s="71">
        <v>-1</v>
      </c>
      <c r="H24" s="71">
        <v>-1</v>
      </c>
      <c r="I24" s="71">
        <v>-1</v>
      </c>
      <c r="J24" s="71">
        <v>-1</v>
      </c>
      <c r="K24" s="71">
        <v>0</v>
      </c>
      <c r="L24" s="71">
        <v>0</v>
      </c>
      <c r="M24" s="71">
        <v>0</v>
      </c>
      <c r="N24" s="71">
        <v>0</v>
      </c>
      <c r="O24" s="71">
        <v>0</v>
      </c>
      <c r="P24" s="71">
        <v>0</v>
      </c>
      <c r="Q24" s="71">
        <v>0</v>
      </c>
      <c r="R24" s="77">
        <f>'Cash Flow - FY'!I24</f>
        <v>0</v>
      </c>
      <c r="S24" s="71">
        <v>0</v>
      </c>
      <c r="T24" s="71">
        <v>0</v>
      </c>
      <c r="U24" s="71">
        <v>0</v>
      </c>
      <c r="V24" s="77">
        <f>'Cash Flow - FY'!J24</f>
        <v>0</v>
      </c>
      <c r="W24" s="25"/>
    </row>
    <row r="25" spans="1:23" ht="13" outlineLevel="1" x14ac:dyDescent="0.3">
      <c r="A25" s="32" t="s">
        <v>146</v>
      </c>
      <c r="B25" s="147"/>
      <c r="C25" s="125">
        <f t="shared" ref="C25:M25" si="9">IFERROR(C22+C23+C24,"n.a.")</f>
        <v>-59.3</v>
      </c>
      <c r="D25" s="125">
        <f t="shared" si="9"/>
        <v>-97.2</v>
      </c>
      <c r="E25" s="125">
        <f t="shared" si="9"/>
        <v>-118.3</v>
      </c>
      <c r="F25" s="125">
        <f t="shared" si="9"/>
        <v>-46.900000000000006</v>
      </c>
      <c r="G25" s="125">
        <f t="shared" si="9"/>
        <v>-47.900000000000006</v>
      </c>
      <c r="H25" s="125">
        <f t="shared" si="9"/>
        <v>-47.900000000000006</v>
      </c>
      <c r="I25" s="125">
        <f t="shared" si="9"/>
        <v>-47.900000000000006</v>
      </c>
      <c r="J25" s="125">
        <f t="shared" si="9"/>
        <v>-47.900000000000006</v>
      </c>
      <c r="K25" s="125">
        <f t="shared" si="9"/>
        <v>0</v>
      </c>
      <c r="L25" s="125">
        <f t="shared" si="9"/>
        <v>0</v>
      </c>
      <c r="M25" s="125">
        <f t="shared" si="9"/>
        <v>0</v>
      </c>
      <c r="N25" s="125">
        <v>0</v>
      </c>
      <c r="O25" s="125">
        <f t="shared" ref="O25:P25" si="10">IFERROR(O22+O23+O24,"n.a.")</f>
        <v>0</v>
      </c>
      <c r="P25" s="125">
        <f t="shared" si="10"/>
        <v>0</v>
      </c>
      <c r="Q25" s="125">
        <f t="shared" ref="Q25" si="11">IFERROR(Q22+Q23+Q24,"n.a.")</f>
        <v>0</v>
      </c>
      <c r="R25" s="125">
        <v>0</v>
      </c>
      <c r="S25" s="125">
        <f t="shared" ref="S25:T25" si="12">IFERROR(S22+S23+S24,"n.a.")</f>
        <v>0</v>
      </c>
      <c r="T25" s="125">
        <f t="shared" si="12"/>
        <v>0</v>
      </c>
      <c r="U25" s="125">
        <f t="shared" ref="U25" si="13">IFERROR(U22+U23+U24,"n.a.")</f>
        <v>0</v>
      </c>
      <c r="V25" s="125">
        <v>0</v>
      </c>
      <c r="W25" s="25"/>
    </row>
    <row r="26" spans="1:23" s="25" customFormat="1" ht="13" x14ac:dyDescent="0.3">
      <c r="A26" s="151" t="s">
        <v>141</v>
      </c>
      <c r="B26" s="152"/>
      <c r="C26" s="98">
        <f t="shared" ref="C26:M26" si="14">IFERROR(C21+C25,"n.a.")</f>
        <v>5331</v>
      </c>
      <c r="D26" s="98">
        <f t="shared" si="14"/>
        <v>5331</v>
      </c>
      <c r="E26" s="98">
        <f t="shared" si="14"/>
        <v>5331</v>
      </c>
      <c r="F26" s="98">
        <f t="shared" si="14"/>
        <v>5331</v>
      </c>
      <c r="G26" s="98">
        <f t="shared" si="14"/>
        <v>4912.8</v>
      </c>
      <c r="H26" s="98">
        <f t="shared" si="14"/>
        <v>4912.8</v>
      </c>
      <c r="I26" s="98">
        <f t="shared" si="14"/>
        <v>4912.8</v>
      </c>
      <c r="J26" s="98">
        <f t="shared" si="14"/>
        <v>4912.8</v>
      </c>
      <c r="K26" s="98">
        <f t="shared" si="14"/>
        <v>3218.5</v>
      </c>
      <c r="L26" s="98">
        <f t="shared" si="14"/>
        <v>3218.5</v>
      </c>
      <c r="M26" s="98">
        <f t="shared" si="14"/>
        <v>3218.5</v>
      </c>
      <c r="N26" s="98">
        <f>IFERROR(N21+N25,"n.a.")</f>
        <v>3218.5</v>
      </c>
      <c r="O26" s="98">
        <f t="shared" ref="O26:P26" si="15">IFERROR(O21+O25,"n.a.")</f>
        <v>3180.1</v>
      </c>
      <c r="P26" s="98">
        <f t="shared" si="15"/>
        <v>3180.1</v>
      </c>
      <c r="Q26" s="98">
        <f t="shared" ref="Q26" si="16">IFERROR(Q21+Q25,"n.a.")</f>
        <v>3180.1</v>
      </c>
      <c r="R26" s="98">
        <f>IFERROR(R21+R25,"n.a.")</f>
        <v>3180.1</v>
      </c>
      <c r="S26" s="98">
        <f t="shared" ref="S26:T26" si="17">IFERROR(S21+S25,"n.a.")</f>
        <v>3507.2</v>
      </c>
      <c r="T26" s="98">
        <f t="shared" si="17"/>
        <v>3507.2</v>
      </c>
      <c r="U26" s="98">
        <f t="shared" ref="U26" si="18">IFERROR(U21+U25,"n.a.")</f>
        <v>3507.2</v>
      </c>
      <c r="V26" s="98">
        <f>IFERROR(V21+V25,"n.a.")</f>
        <v>3507.2</v>
      </c>
    </row>
    <row r="27" spans="1:23" x14ac:dyDescent="0.3">
      <c r="A27" s="32" t="s">
        <v>296</v>
      </c>
      <c r="B27" s="148"/>
      <c r="C27" s="125">
        <f t="shared" ref="C27:V27" si="19">IFERROR(-C18,"n.a.")</f>
        <v>838.36500000000001</v>
      </c>
      <c r="D27" s="125">
        <f t="shared" si="19"/>
        <v>631.34500000000003</v>
      </c>
      <c r="E27" s="125">
        <f t="shared" si="19"/>
        <v>625.76600000000008</v>
      </c>
      <c r="F27" s="125">
        <f t="shared" si="19"/>
        <v>-336.30400000000009</v>
      </c>
      <c r="G27" s="125">
        <f t="shared" si="19"/>
        <v>881.62700000000007</v>
      </c>
      <c r="H27" s="125">
        <f t="shared" si="19"/>
        <v>756.65599999999995</v>
      </c>
      <c r="I27" s="125">
        <f t="shared" si="19"/>
        <v>868.94800000000009</v>
      </c>
      <c r="J27" s="125">
        <f t="shared" si="19"/>
        <v>-200.33800000000002</v>
      </c>
      <c r="K27" s="125">
        <f t="shared" si="19"/>
        <v>725.6629999999999</v>
      </c>
      <c r="L27" s="125">
        <f t="shared" si="19"/>
        <v>692.89599999999996</v>
      </c>
      <c r="M27" s="125">
        <f t="shared" si="19"/>
        <v>824.41699999999992</v>
      </c>
      <c r="N27" s="125">
        <f t="shared" si="19"/>
        <v>-48.256000000000014</v>
      </c>
      <c r="O27" s="125">
        <f t="shared" si="19"/>
        <v>712.93200000000013</v>
      </c>
      <c r="P27" s="125">
        <f t="shared" si="19"/>
        <v>640.51099999999997</v>
      </c>
      <c r="Q27" s="125">
        <f t="shared" si="19"/>
        <v>628.91600000000005</v>
      </c>
      <c r="R27" s="125">
        <f t="shared" si="19"/>
        <v>-344.125</v>
      </c>
      <c r="S27" s="125">
        <f t="shared" si="19"/>
        <v>753.46100000000001</v>
      </c>
      <c r="T27" s="125">
        <f t="shared" si="19"/>
        <v>757.5329999999999</v>
      </c>
      <c r="U27" s="125">
        <f t="shared" si="19"/>
        <v>745.28399999999999</v>
      </c>
      <c r="V27" s="125">
        <f t="shared" si="19"/>
        <v>-310.37100000000009</v>
      </c>
    </row>
    <row r="28" spans="1:23" outlineLevel="1" x14ac:dyDescent="0.3">
      <c r="A28" s="32" t="s">
        <v>18</v>
      </c>
      <c r="B28" s="148"/>
      <c r="C28" s="71">
        <v>0</v>
      </c>
      <c r="D28" s="71">
        <v>0</v>
      </c>
      <c r="E28" s="71">
        <v>0</v>
      </c>
      <c r="F28" s="77">
        <f>'Cash Flow - FY'!F28</f>
        <v>0</v>
      </c>
      <c r="G28" s="71">
        <v>0</v>
      </c>
      <c r="H28" s="71">
        <v>0</v>
      </c>
      <c r="I28" s="71">
        <v>0</v>
      </c>
      <c r="J28" s="77">
        <f>'Cash Flow - FY'!G28</f>
        <v>0</v>
      </c>
      <c r="K28" s="71">
        <v>0</v>
      </c>
      <c r="L28" s="71">
        <v>0</v>
      </c>
      <c r="M28" s="71">
        <v>0</v>
      </c>
      <c r="N28" s="77">
        <f>'Cash Flow - FY'!H28</f>
        <v>0</v>
      </c>
      <c r="O28" s="71">
        <v>0</v>
      </c>
      <c r="P28" s="71">
        <v>0</v>
      </c>
      <c r="Q28" s="71">
        <v>0</v>
      </c>
      <c r="R28" s="77">
        <f>'Cash Flow - FY'!I28</f>
        <v>0</v>
      </c>
      <c r="S28" s="71">
        <v>0</v>
      </c>
      <c r="T28" s="71">
        <v>0</v>
      </c>
      <c r="U28" s="71">
        <v>0</v>
      </c>
      <c r="V28" s="77">
        <f>'Cash Flow - FY'!J28</f>
        <v>0</v>
      </c>
    </row>
    <row r="29" spans="1:23" outlineLevel="1" x14ac:dyDescent="0.3">
      <c r="A29" s="32" t="s">
        <v>125</v>
      </c>
      <c r="B29" s="148"/>
      <c r="C29" s="71">
        <v>0</v>
      </c>
      <c r="D29" s="71">
        <v>0</v>
      </c>
      <c r="E29" s="71">
        <v>0</v>
      </c>
      <c r="F29" s="77">
        <f>'Cash Flow - FY'!F29</f>
        <v>0</v>
      </c>
      <c r="G29" s="71">
        <v>0</v>
      </c>
      <c r="H29" s="71">
        <v>0</v>
      </c>
      <c r="I29" s="71">
        <v>0</v>
      </c>
      <c r="J29" s="77">
        <f>'Cash Flow - FY'!G29</f>
        <v>0</v>
      </c>
      <c r="K29" s="71">
        <v>0</v>
      </c>
      <c r="L29" s="71">
        <v>0</v>
      </c>
      <c r="M29" s="71">
        <v>0</v>
      </c>
      <c r="N29" s="77">
        <f>'Cash Flow - FY'!H29</f>
        <v>0</v>
      </c>
      <c r="O29" s="71">
        <v>0</v>
      </c>
      <c r="P29" s="71">
        <v>0</v>
      </c>
      <c r="Q29" s="71">
        <v>0</v>
      </c>
      <c r="R29" s="77">
        <f>'Cash Flow - FY'!I29</f>
        <v>0</v>
      </c>
      <c r="S29" s="71">
        <v>0</v>
      </c>
      <c r="T29" s="71">
        <v>0</v>
      </c>
      <c r="U29" s="71">
        <v>0</v>
      </c>
      <c r="V29" s="77">
        <f>'Cash Flow - FY'!J29</f>
        <v>0</v>
      </c>
    </row>
    <row r="30" spans="1:23" x14ac:dyDescent="0.3">
      <c r="A30" s="32" t="s">
        <v>346</v>
      </c>
      <c r="B30" s="148"/>
      <c r="C30" s="71">
        <v>0</v>
      </c>
      <c r="D30" s="71">
        <v>0</v>
      </c>
      <c r="E30" s="71">
        <v>0</v>
      </c>
      <c r="F30" s="77">
        <f>'Cash Flow - FY'!F30</f>
        <v>0</v>
      </c>
      <c r="G30" s="71">
        <v>0</v>
      </c>
      <c r="H30" s="71">
        <v>0</v>
      </c>
      <c r="I30" s="71">
        <v>0</v>
      </c>
      <c r="J30" s="77">
        <f>'Cash Flow - FY'!G30</f>
        <v>0</v>
      </c>
      <c r="K30" s="71">
        <v>0</v>
      </c>
      <c r="L30" s="71">
        <v>0</v>
      </c>
      <c r="M30" s="71">
        <v>0</v>
      </c>
      <c r="N30" s="77">
        <f>'Cash Flow - FY'!H30</f>
        <v>0</v>
      </c>
      <c r="O30" s="71">
        <v>0</v>
      </c>
      <c r="P30" s="71">
        <v>0</v>
      </c>
      <c r="Q30" s="71">
        <v>0</v>
      </c>
      <c r="R30" s="77">
        <f>'Cash Flow - FY'!I30</f>
        <v>0</v>
      </c>
      <c r="S30" s="71">
        <v>0</v>
      </c>
      <c r="T30" s="71">
        <v>0</v>
      </c>
      <c r="U30" s="71">
        <v>0</v>
      </c>
      <c r="V30" s="77">
        <f>'Cash Flow - FY'!J30</f>
        <v>-41.2</v>
      </c>
    </row>
    <row r="31" spans="1:23" x14ac:dyDescent="0.3">
      <c r="A31" s="32" t="s">
        <v>126</v>
      </c>
      <c r="B31" s="148"/>
      <c r="C31" s="71">
        <v>0</v>
      </c>
      <c r="D31" s="71">
        <v>0</v>
      </c>
      <c r="E31" s="71">
        <v>0</v>
      </c>
      <c r="F31" s="77">
        <f>'Cash Flow - FY'!F31</f>
        <v>0</v>
      </c>
      <c r="G31" s="71">
        <v>0</v>
      </c>
      <c r="H31" s="71">
        <v>0</v>
      </c>
      <c r="I31" s="71">
        <v>0</v>
      </c>
      <c r="J31" s="77">
        <f>'Cash Flow - FY'!G31</f>
        <v>0</v>
      </c>
      <c r="K31" s="71">
        <v>0</v>
      </c>
      <c r="L31" s="71">
        <v>0</v>
      </c>
      <c r="M31" s="71">
        <v>0</v>
      </c>
      <c r="N31" s="77">
        <f>'Cash Flow - FY'!H31</f>
        <v>0</v>
      </c>
      <c r="O31" s="71">
        <v>0</v>
      </c>
      <c r="P31" s="71">
        <v>176.9</v>
      </c>
      <c r="Q31" s="71">
        <v>176.9</v>
      </c>
      <c r="R31" s="77">
        <f>'Cash Flow - FY'!I31</f>
        <v>176.9</v>
      </c>
      <c r="S31" s="71">
        <v>0</v>
      </c>
      <c r="T31" s="71">
        <v>0</v>
      </c>
      <c r="U31" s="71">
        <v>0</v>
      </c>
      <c r="V31" s="77">
        <f>'Cash Flow - FY'!J31</f>
        <v>0</v>
      </c>
    </row>
    <row r="32" spans="1:23" x14ac:dyDescent="0.3">
      <c r="A32" s="32" t="s">
        <v>181</v>
      </c>
      <c r="B32" s="148"/>
      <c r="C32" s="71">
        <v>0</v>
      </c>
      <c r="D32" s="71">
        <v>0</v>
      </c>
      <c r="E32" s="71">
        <v>0</v>
      </c>
      <c r="F32" s="77">
        <f>'Cash Flow - FY'!F32</f>
        <v>33.9</v>
      </c>
      <c r="G32" s="71">
        <v>0</v>
      </c>
      <c r="H32" s="71">
        <v>0</v>
      </c>
      <c r="I32" s="71">
        <v>0</v>
      </c>
      <c r="J32" s="77">
        <f>'Cash Flow - FY'!G32</f>
        <v>0</v>
      </c>
      <c r="K32" s="71">
        <v>0</v>
      </c>
      <c r="L32" s="71">
        <v>0</v>
      </c>
      <c r="M32" s="71">
        <v>0</v>
      </c>
      <c r="N32" s="77">
        <f>'Cash Flow - FY'!H32</f>
        <v>0</v>
      </c>
      <c r="O32" s="71">
        <v>0</v>
      </c>
      <c r="P32" s="71">
        <v>0</v>
      </c>
      <c r="Q32" s="71">
        <v>0</v>
      </c>
      <c r="R32" s="77">
        <f>'Cash Flow - FY'!I32</f>
        <v>0</v>
      </c>
      <c r="S32" s="71">
        <v>0</v>
      </c>
      <c r="T32" s="71">
        <v>0</v>
      </c>
      <c r="U32" s="71">
        <v>0</v>
      </c>
      <c r="V32" s="77">
        <f>'Cash Flow - FY'!J32</f>
        <v>0</v>
      </c>
    </row>
    <row r="33" spans="1:24" x14ac:dyDescent="0.3">
      <c r="A33" s="32" t="s">
        <v>182</v>
      </c>
      <c r="B33" s="148"/>
      <c r="C33" s="71">
        <v>0</v>
      </c>
      <c r="D33" s="71">
        <v>0</v>
      </c>
      <c r="E33" s="71">
        <v>0</v>
      </c>
      <c r="F33" s="77">
        <f>'Cash Flow - FY'!F33</f>
        <v>-10.9</v>
      </c>
      <c r="G33" s="71">
        <v>0</v>
      </c>
      <c r="H33" s="71">
        <v>0</v>
      </c>
      <c r="I33" s="71">
        <v>0</v>
      </c>
      <c r="J33" s="77">
        <f>'Cash Flow - FY'!G33</f>
        <v>0</v>
      </c>
      <c r="K33" s="71">
        <v>0</v>
      </c>
      <c r="L33" s="71">
        <v>0</v>
      </c>
      <c r="M33" s="71">
        <v>0</v>
      </c>
      <c r="N33" s="77">
        <f>'Cash Flow - FY'!H33</f>
        <v>0</v>
      </c>
      <c r="O33" s="71">
        <v>0</v>
      </c>
      <c r="P33" s="71">
        <v>0</v>
      </c>
      <c r="Q33" s="71">
        <v>0</v>
      </c>
      <c r="R33" s="77">
        <f>'Cash Flow - FY'!I33</f>
        <v>0</v>
      </c>
      <c r="S33" s="71">
        <v>0</v>
      </c>
      <c r="T33" s="71">
        <v>0</v>
      </c>
      <c r="U33" s="71">
        <v>0</v>
      </c>
      <c r="V33" s="77">
        <f>'Cash Flow - FY'!J33</f>
        <v>0</v>
      </c>
    </row>
    <row r="34" spans="1:24" x14ac:dyDescent="0.3">
      <c r="A34" s="32" t="s">
        <v>128</v>
      </c>
      <c r="B34" s="148"/>
      <c r="C34" s="71">
        <v>0</v>
      </c>
      <c r="D34" s="71">
        <v>0</v>
      </c>
      <c r="E34" s="71">
        <v>0</v>
      </c>
      <c r="F34" s="77">
        <f>'Cash Flow - FY'!F34</f>
        <v>0</v>
      </c>
      <c r="G34" s="71">
        <v>0</v>
      </c>
      <c r="H34" s="71">
        <v>0</v>
      </c>
      <c r="I34" s="71">
        <v>0</v>
      </c>
      <c r="J34" s="77">
        <f>'Cash Flow - FY'!G34</f>
        <v>0</v>
      </c>
      <c r="K34" s="71">
        <v>0</v>
      </c>
      <c r="L34" s="71">
        <v>0</v>
      </c>
      <c r="M34" s="71">
        <v>0</v>
      </c>
      <c r="N34" s="77">
        <f>'Cash Flow - FY'!H34</f>
        <v>0</v>
      </c>
      <c r="O34" s="71">
        <v>0</v>
      </c>
      <c r="P34" s="71">
        <v>0</v>
      </c>
      <c r="Q34" s="71">
        <v>0</v>
      </c>
      <c r="R34" s="77">
        <f>'Cash Flow - FY'!I34</f>
        <v>0</v>
      </c>
      <c r="S34" s="71">
        <v>0</v>
      </c>
      <c r="T34" s="71">
        <v>0</v>
      </c>
      <c r="U34" s="71">
        <v>0</v>
      </c>
      <c r="V34" s="77">
        <f>'Cash Flow - FY'!J34</f>
        <v>0</v>
      </c>
    </row>
    <row r="35" spans="1:24" x14ac:dyDescent="0.3">
      <c r="A35" s="32" t="s">
        <v>183</v>
      </c>
      <c r="B35" s="148"/>
      <c r="C35" s="71">
        <v>0</v>
      </c>
      <c r="D35" s="71">
        <v>0</v>
      </c>
      <c r="E35" s="71">
        <v>0</v>
      </c>
      <c r="F35" s="77">
        <f>'Cash Flow - FY'!F35</f>
        <v>-266</v>
      </c>
      <c r="G35" s="71">
        <v>0</v>
      </c>
      <c r="H35" s="71">
        <v>0</v>
      </c>
      <c r="I35" s="71">
        <v>0</v>
      </c>
      <c r="J35" s="77">
        <f>'Cash Flow - FY'!G35</f>
        <v>0</v>
      </c>
      <c r="K35" s="71">
        <v>0</v>
      </c>
      <c r="L35" s="71">
        <v>0</v>
      </c>
      <c r="M35" s="71">
        <v>0</v>
      </c>
      <c r="N35" s="77">
        <f>'Cash Flow - FY'!H35</f>
        <v>0</v>
      </c>
      <c r="O35" s="71">
        <v>0</v>
      </c>
      <c r="P35" s="71">
        <v>0</v>
      </c>
      <c r="Q35" s="71">
        <v>0</v>
      </c>
      <c r="R35" s="77">
        <f>'Cash Flow - FY'!I35</f>
        <v>0</v>
      </c>
      <c r="S35" s="71">
        <v>0</v>
      </c>
      <c r="T35" s="71">
        <v>0</v>
      </c>
      <c r="U35" s="71">
        <v>0</v>
      </c>
      <c r="V35" s="77">
        <f>'Cash Flow - FY'!J35</f>
        <v>0</v>
      </c>
    </row>
    <row r="36" spans="1:24" x14ac:dyDescent="0.3">
      <c r="A36" s="32" t="s">
        <v>180</v>
      </c>
      <c r="B36" s="148"/>
      <c r="C36" s="71">
        <v>0</v>
      </c>
      <c r="D36" s="71">
        <v>134.30000000000001</v>
      </c>
      <c r="E36" s="71">
        <v>134.30000000000001</v>
      </c>
      <c r="F36" s="77">
        <f>'Cash Flow - FY'!F36</f>
        <v>134.30000000000001</v>
      </c>
      <c r="G36" s="71">
        <v>0</v>
      </c>
      <c r="H36" s="71">
        <v>0</v>
      </c>
      <c r="I36" s="71">
        <v>0</v>
      </c>
      <c r="J36" s="77">
        <f>'Cash Flow - FY'!G36</f>
        <v>0</v>
      </c>
      <c r="K36" s="71">
        <v>0</v>
      </c>
      <c r="L36" s="71">
        <v>0</v>
      </c>
      <c r="M36" s="71">
        <v>0</v>
      </c>
      <c r="N36" s="77">
        <f>'Cash Flow - FY'!H36</f>
        <v>0</v>
      </c>
      <c r="O36" s="71">
        <v>0</v>
      </c>
      <c r="P36" s="71">
        <v>0</v>
      </c>
      <c r="Q36" s="71">
        <v>0</v>
      </c>
      <c r="R36" s="77">
        <f>'Cash Flow - FY'!I36</f>
        <v>0</v>
      </c>
      <c r="S36" s="71">
        <v>0</v>
      </c>
      <c r="T36" s="71">
        <v>0</v>
      </c>
      <c r="U36" s="71">
        <v>0</v>
      </c>
      <c r="V36" s="77">
        <f>'Cash Flow - FY'!J36</f>
        <v>0</v>
      </c>
    </row>
    <row r="37" spans="1:24" x14ac:dyDescent="0.3">
      <c r="A37" s="32" t="s">
        <v>184</v>
      </c>
      <c r="B37" s="148"/>
      <c r="C37" s="71">
        <v>0</v>
      </c>
      <c r="D37" s="71">
        <v>0</v>
      </c>
      <c r="E37" s="71">
        <v>0</v>
      </c>
      <c r="F37" s="77">
        <f>'Cash Flow - FY'!F37</f>
        <v>77.400000000000006</v>
      </c>
      <c r="G37" s="71">
        <v>0</v>
      </c>
      <c r="H37" s="71">
        <v>0</v>
      </c>
      <c r="I37" s="71">
        <v>0</v>
      </c>
      <c r="J37" s="77">
        <f>'Cash Flow - FY'!G37</f>
        <v>0</v>
      </c>
      <c r="K37" s="71">
        <v>0</v>
      </c>
      <c r="L37" s="71">
        <v>0</v>
      </c>
      <c r="M37" s="71">
        <v>0</v>
      </c>
      <c r="N37" s="77">
        <f>'Cash Flow - FY'!H37</f>
        <v>0</v>
      </c>
      <c r="O37" s="71">
        <v>0</v>
      </c>
      <c r="P37" s="71">
        <v>0</v>
      </c>
      <c r="Q37" s="71">
        <v>0</v>
      </c>
      <c r="R37" s="77">
        <f>'Cash Flow - FY'!I37</f>
        <v>0</v>
      </c>
      <c r="S37" s="71">
        <v>0</v>
      </c>
      <c r="T37" s="71">
        <v>0</v>
      </c>
      <c r="U37" s="71">
        <v>0</v>
      </c>
      <c r="V37" s="77">
        <f>'Cash Flow - FY'!J37</f>
        <v>0</v>
      </c>
    </row>
    <row r="38" spans="1:24" x14ac:dyDescent="0.3">
      <c r="A38" s="32" t="s">
        <v>129</v>
      </c>
      <c r="B38" s="147"/>
      <c r="C38" s="71">
        <v>-59.3</v>
      </c>
      <c r="D38" s="71">
        <v>-97.2</v>
      </c>
      <c r="E38" s="71">
        <v>-118.7</v>
      </c>
      <c r="F38" s="77">
        <f>'Cash Flow - FY'!F38</f>
        <v>-46.9</v>
      </c>
      <c r="G38" s="71">
        <v>-269.3</v>
      </c>
      <c r="H38" s="71">
        <v>-304.60000000000002</v>
      </c>
      <c r="I38" s="71">
        <v>-304.60000000000002</v>
      </c>
      <c r="J38" s="77">
        <f>'Cash Flow - FY'!G38</f>
        <v>-304.60000000000002</v>
      </c>
      <c r="K38" s="71">
        <v>-5.3</v>
      </c>
      <c r="L38" s="71">
        <v>5</v>
      </c>
      <c r="M38" s="71">
        <v>-4.5999999999999996</v>
      </c>
      <c r="N38" s="77">
        <f>'Cash Flow - FY'!H38</f>
        <v>9.9</v>
      </c>
      <c r="O38" s="71">
        <v>0</v>
      </c>
      <c r="P38" s="71">
        <v>0</v>
      </c>
      <c r="Q38" s="71">
        <v>0</v>
      </c>
      <c r="R38" s="77">
        <f>'Cash Flow - FY'!I38</f>
        <v>0</v>
      </c>
      <c r="S38" s="71">
        <v>0</v>
      </c>
      <c r="T38" s="71">
        <v>0</v>
      </c>
      <c r="U38" s="71">
        <v>0</v>
      </c>
      <c r="V38" s="77">
        <f>'Cash Flow - FY'!J38</f>
        <v>0</v>
      </c>
    </row>
    <row r="39" spans="1:24" x14ac:dyDescent="0.3">
      <c r="A39" s="32" t="s">
        <v>185</v>
      </c>
      <c r="B39" s="147"/>
      <c r="C39" s="71">
        <v>0</v>
      </c>
      <c r="D39" s="71">
        <v>0</v>
      </c>
      <c r="E39" s="71">
        <v>0</v>
      </c>
      <c r="F39" s="77">
        <f>'Cash Flow - FY'!F39</f>
        <v>-3.8</v>
      </c>
      <c r="G39" s="71">
        <v>0</v>
      </c>
      <c r="H39" s="71">
        <v>0</v>
      </c>
      <c r="I39" s="71">
        <v>0</v>
      </c>
      <c r="J39" s="77">
        <f>'Cash Flow - FY'!G39</f>
        <v>0</v>
      </c>
      <c r="K39" s="71">
        <v>0</v>
      </c>
      <c r="L39" s="71">
        <v>0</v>
      </c>
      <c r="M39" s="71">
        <v>0</v>
      </c>
      <c r="N39" s="77">
        <f>'Cash Flow - FY'!H39</f>
        <v>0</v>
      </c>
      <c r="O39" s="71">
        <v>0</v>
      </c>
      <c r="P39" s="71">
        <v>0</v>
      </c>
      <c r="Q39" s="71">
        <v>0</v>
      </c>
      <c r="R39" s="77">
        <f>'Cash Flow - FY'!I39</f>
        <v>0</v>
      </c>
      <c r="S39" s="71">
        <v>0</v>
      </c>
      <c r="T39" s="71">
        <v>0</v>
      </c>
      <c r="U39" s="71">
        <v>0</v>
      </c>
      <c r="V39" s="77">
        <f>'Cash Flow - FY'!J39</f>
        <v>0</v>
      </c>
    </row>
    <row r="40" spans="1:24" x14ac:dyDescent="0.3">
      <c r="A40" s="32" t="s">
        <v>130</v>
      </c>
      <c r="B40" s="147"/>
      <c r="C40" s="83">
        <f>-C101</f>
        <v>0</v>
      </c>
      <c r="D40" s="83">
        <f>-D101</f>
        <v>0</v>
      </c>
      <c r="E40" s="83">
        <f>-E101</f>
        <v>0</v>
      </c>
      <c r="F40" s="77">
        <f>'Cash Flow - FY'!F40</f>
        <v>0</v>
      </c>
      <c r="G40" s="83">
        <f>-G101</f>
        <v>0</v>
      </c>
      <c r="H40" s="83">
        <f>-H101</f>
        <v>-1189.375</v>
      </c>
      <c r="I40" s="83">
        <f>-I101</f>
        <v>-1189.375</v>
      </c>
      <c r="J40" s="77">
        <f>'Cash Flow - FY'!G40</f>
        <v>-1189.375</v>
      </c>
      <c r="K40" s="71">
        <v>0</v>
      </c>
      <c r="L40" s="71">
        <v>0</v>
      </c>
      <c r="M40" s="71">
        <v>0</v>
      </c>
      <c r="N40" s="77">
        <f>'Cash Flow - FY'!H40</f>
        <v>0</v>
      </c>
      <c r="O40" s="71">
        <v>0</v>
      </c>
      <c r="P40" s="71">
        <v>0</v>
      </c>
      <c r="Q40" s="71">
        <v>0</v>
      </c>
      <c r="R40" s="77">
        <f>'Cash Flow - FY'!I40</f>
        <v>0</v>
      </c>
      <c r="S40" s="71">
        <v>0</v>
      </c>
      <c r="T40" s="71">
        <v>0</v>
      </c>
      <c r="U40" s="71">
        <v>0</v>
      </c>
      <c r="V40" s="77">
        <f>'Cash Flow - FY'!J40</f>
        <v>0</v>
      </c>
    </row>
    <row r="41" spans="1:24" x14ac:dyDescent="0.3">
      <c r="A41" s="217" t="s">
        <v>299</v>
      </c>
      <c r="B41" s="209"/>
      <c r="C41" s="210">
        <v>0</v>
      </c>
      <c r="D41" s="210">
        <v>0</v>
      </c>
      <c r="E41" s="210">
        <v>0</v>
      </c>
      <c r="F41" s="77">
        <f>'Cash Flow - FY'!F41</f>
        <v>0</v>
      </c>
      <c r="G41" s="210">
        <v>0</v>
      </c>
      <c r="H41" s="210">
        <v>0</v>
      </c>
      <c r="I41" s="210">
        <v>0</v>
      </c>
      <c r="J41" s="77">
        <f>'Cash Flow - FY'!G41</f>
        <v>0</v>
      </c>
      <c r="K41" s="210">
        <v>0</v>
      </c>
      <c r="L41" s="210">
        <v>0</v>
      </c>
      <c r="M41" s="210">
        <v>0</v>
      </c>
      <c r="N41" s="77">
        <f>'Cash Flow - FY'!H41</f>
        <v>0</v>
      </c>
      <c r="O41" s="210">
        <v>15.7</v>
      </c>
      <c r="P41" s="210">
        <v>24.5</v>
      </c>
      <c r="Q41" s="210">
        <v>16.399999999999999</v>
      </c>
      <c r="R41" s="77">
        <f>'Cash Flow - FY'!I41</f>
        <v>11.2</v>
      </c>
      <c r="S41" s="210">
        <v>0</v>
      </c>
      <c r="T41" s="210">
        <v>0</v>
      </c>
      <c r="U41" s="210">
        <v>0</v>
      </c>
      <c r="V41" s="77">
        <f>'Cash Flow - FY'!J41</f>
        <v>0</v>
      </c>
    </row>
    <row r="42" spans="1:24" s="25" customFormat="1" ht="13" x14ac:dyDescent="0.3">
      <c r="A42" s="126" t="s">
        <v>284</v>
      </c>
      <c r="B42" s="153"/>
      <c r="C42" s="104">
        <f t="shared" ref="C42:I42" si="20">IFERROR(C26+C27+C28+C29+C31+C32+C33+C34+C35+C36+C37+C38+C39+C40,"n.a.")</f>
        <v>6110.0649999999996</v>
      </c>
      <c r="D42" s="104">
        <f t="shared" si="20"/>
        <v>5999.4450000000006</v>
      </c>
      <c r="E42" s="104">
        <f t="shared" si="20"/>
        <v>5972.366</v>
      </c>
      <c r="F42" s="104">
        <f t="shared" si="20"/>
        <v>4912.6959999999999</v>
      </c>
      <c r="G42" s="104">
        <f t="shared" si="20"/>
        <v>5525.1270000000004</v>
      </c>
      <c r="H42" s="104">
        <f t="shared" si="20"/>
        <v>4175.4809999999998</v>
      </c>
      <c r="I42" s="104">
        <f t="shared" si="20"/>
        <v>4287.7730000000001</v>
      </c>
      <c r="J42" s="104">
        <f t="shared" ref="J42:N42" si="21">IFERROR(J26+J27+J28+J29+J31+J32+J33+J34+J35+J36+J37+J38+J39+J40+J41,"n.a.")</f>
        <v>3218.4870000000001</v>
      </c>
      <c r="K42" s="104">
        <f t="shared" si="21"/>
        <v>3938.8629999999998</v>
      </c>
      <c r="L42" s="104">
        <f t="shared" si="21"/>
        <v>3916.3959999999997</v>
      </c>
      <c r="M42" s="104">
        <f t="shared" si="21"/>
        <v>4038.317</v>
      </c>
      <c r="N42" s="104">
        <f t="shared" si="21"/>
        <v>3180.1440000000002</v>
      </c>
      <c r="O42" s="104">
        <f>IFERROR(O26+O27+O28+O29+O31+O32+O33+O34+O35+O36+O37+O38+O39+O40+O41,"n.a.")</f>
        <v>3908.732</v>
      </c>
      <c r="P42" s="104">
        <f>IFERROR(P26+P27+P28+P29+P31+P32+P33+P34+P35+P36+P37+P38+P39+P40+P41,"n.a.")</f>
        <v>4022.011</v>
      </c>
      <c r="Q42" s="104">
        <f>IFERROR(Q26+Q27+Q28+Q29+Q31+Q32+Q33+Q34+Q35+Q36+Q37+Q38+Q39+Q40+Q41,"n.a.")</f>
        <v>4002.3160000000003</v>
      </c>
      <c r="R42" s="104">
        <f t="shared" ref="R42" si="22">IFERROR(R26+R27+R28+R29+R31+R32+R33+R34+R35+R36+R37+R38+R39+R40+R41,"n.a.")</f>
        <v>3024.0749999999998</v>
      </c>
      <c r="S42" s="104" t="s">
        <v>175</v>
      </c>
      <c r="T42" s="104" t="s">
        <v>175</v>
      </c>
      <c r="U42" s="104" t="s">
        <v>175</v>
      </c>
      <c r="V42" s="104" t="s">
        <v>175</v>
      </c>
      <c r="X42" s="233"/>
    </row>
    <row r="43" spans="1:24" x14ac:dyDescent="0.3">
      <c r="A43" s="32" t="s">
        <v>332</v>
      </c>
      <c r="B43" s="147"/>
      <c r="C43" s="71">
        <v>0</v>
      </c>
      <c r="D43" s="71">
        <v>0</v>
      </c>
      <c r="E43" s="71">
        <v>0</v>
      </c>
      <c r="F43" s="77">
        <f>'Cash Flow - FY'!F43</f>
        <v>0</v>
      </c>
      <c r="G43" s="71">
        <v>0</v>
      </c>
      <c r="H43" s="71">
        <v>0</v>
      </c>
      <c r="I43" s="71">
        <v>0</v>
      </c>
      <c r="J43" s="77">
        <f>'Cash Flow - FY'!G43</f>
        <v>0</v>
      </c>
      <c r="K43" s="71">
        <v>0</v>
      </c>
      <c r="L43" s="71">
        <v>0</v>
      </c>
      <c r="M43" s="71">
        <v>0</v>
      </c>
      <c r="N43" s="77">
        <f>'Cash Flow - FY'!H43</f>
        <v>0</v>
      </c>
      <c r="O43" s="71">
        <v>490</v>
      </c>
      <c r="P43" s="71">
        <v>494.3</v>
      </c>
      <c r="Q43" s="71">
        <v>494.3</v>
      </c>
      <c r="R43" s="77">
        <f>'Cash Flow - FY'!I43</f>
        <v>494.3</v>
      </c>
      <c r="S43" s="77">
        <f>'Balance Sheet - Interim'!P37</f>
        <v>473.47500000000002</v>
      </c>
      <c r="T43" s="77">
        <f>'Balance Sheet - Interim'!Q37</f>
        <v>482.36399999999998</v>
      </c>
      <c r="U43" s="77">
        <f>'Balance Sheet - Interim'!R37</f>
        <v>472.11200000000002</v>
      </c>
      <c r="V43" s="77" t="str">
        <f>'Cash Flow - FY'!J43</f>
        <v>n.a.</v>
      </c>
    </row>
    <row r="44" spans="1:24" x14ac:dyDescent="0.3">
      <c r="A44" s="32" t="s">
        <v>300</v>
      </c>
      <c r="B44" s="147"/>
      <c r="C44" s="71">
        <v>0</v>
      </c>
      <c r="D44" s="71">
        <v>0</v>
      </c>
      <c r="E44" s="71">
        <v>0</v>
      </c>
      <c r="F44" s="77">
        <f>'Cash Flow - FY'!F44</f>
        <v>0</v>
      </c>
      <c r="G44" s="71">
        <v>0</v>
      </c>
      <c r="H44" s="71">
        <v>0</v>
      </c>
      <c r="I44" s="71">
        <v>0</v>
      </c>
      <c r="J44" s="77">
        <f>'Cash Flow - FY'!G44</f>
        <v>0</v>
      </c>
      <c r="K44" s="71">
        <v>0</v>
      </c>
      <c r="L44" s="71">
        <v>0</v>
      </c>
      <c r="M44" s="71">
        <v>0</v>
      </c>
      <c r="N44" s="77">
        <f>'Cash Flow - FY'!H44</f>
        <v>0</v>
      </c>
      <c r="O44" s="71">
        <v>-15.7</v>
      </c>
      <c r="P44" s="71">
        <v>-24.5</v>
      </c>
      <c r="Q44" s="71">
        <v>-16.399999999999999</v>
      </c>
      <c r="R44" s="77">
        <f>'Cash Flow - FY'!I44</f>
        <v>-11.2</v>
      </c>
      <c r="S44" s="71">
        <v>0</v>
      </c>
      <c r="T44" s="71">
        <v>0</v>
      </c>
      <c r="U44" s="71">
        <v>0</v>
      </c>
      <c r="V44" s="77" t="str">
        <f>'Cash Flow - FY'!J44</f>
        <v>n.a.</v>
      </c>
    </row>
    <row r="45" spans="1:24" s="25" customFormat="1" ht="13" x14ac:dyDescent="0.3">
      <c r="A45" s="126" t="s">
        <v>285</v>
      </c>
      <c r="B45" s="153"/>
      <c r="C45" s="104">
        <f t="shared" ref="C45" si="23">IFERROR(C42+C43,"n.a.")</f>
        <v>6110.0649999999996</v>
      </c>
      <c r="D45" s="104">
        <f t="shared" ref="D45" si="24">IFERROR(D42+D43,"n.a.")</f>
        <v>5999.4450000000006</v>
      </c>
      <c r="E45" s="104">
        <f t="shared" ref="E45" si="25">IFERROR(E42+E43,"n.a.")</f>
        <v>5972.366</v>
      </c>
      <c r="F45" s="104">
        <f t="shared" ref="F45" si="26">IFERROR(F42+F43,"n.a.")</f>
        <v>4912.6959999999999</v>
      </c>
      <c r="G45" s="104">
        <f t="shared" ref="G45" si="27">IFERROR(G42+G43,"n.a.")</f>
        <v>5525.1270000000004</v>
      </c>
      <c r="H45" s="104">
        <f t="shared" ref="H45" si="28">IFERROR(H42+H43,"n.a.")</f>
        <v>4175.4809999999998</v>
      </c>
      <c r="I45" s="104">
        <f t="shared" ref="I45" si="29">IFERROR(I42+I43,"n.a.")</f>
        <v>4287.7730000000001</v>
      </c>
      <c r="J45" s="104">
        <f t="shared" ref="J45:Q45" si="30">IFERROR(J42+J43+J44,"n.a.")</f>
        <v>3218.4870000000001</v>
      </c>
      <c r="K45" s="104">
        <f t="shared" si="30"/>
        <v>3938.8629999999998</v>
      </c>
      <c r="L45" s="104">
        <f t="shared" si="30"/>
        <v>3916.3959999999997</v>
      </c>
      <c r="M45" s="104">
        <f t="shared" si="30"/>
        <v>4038.317</v>
      </c>
      <c r="N45" s="104">
        <f t="shared" si="30"/>
        <v>3180.1440000000002</v>
      </c>
      <c r="O45" s="104">
        <f t="shared" si="30"/>
        <v>4383.0320000000002</v>
      </c>
      <c r="P45" s="104">
        <f t="shared" si="30"/>
        <v>4491.8109999999997</v>
      </c>
      <c r="Q45" s="104">
        <f t="shared" si="30"/>
        <v>4480.2160000000003</v>
      </c>
      <c r="R45" s="104">
        <f>IFERROR(R42+R43+R44,"n.a.")</f>
        <v>3507.1750000000002</v>
      </c>
      <c r="S45" s="104">
        <f t="shared" ref="S45:T45" si="31">IFERROR(S26+S27+S28+S29+S30+S31+S32+S33+S34+S35+S36+S37+S38+S39+S40+S41,"n.a.")</f>
        <v>4260.6610000000001</v>
      </c>
      <c r="T45" s="104">
        <f t="shared" si="31"/>
        <v>4264.7330000000002</v>
      </c>
      <c r="U45" s="104">
        <f>IFERROR(U26+U27+U28+U29+U30+U31+U32+U33+U34+U35+U36+U37+U38+U39+U40+U41,"n.a.")</f>
        <v>4252.4839999999995</v>
      </c>
      <c r="V45" s="104">
        <f t="shared" ref="V45" si="32">IFERROR(V26+V27+V28+V29+V30+V31+V32+V33+V34+V35+V36+V37+V38+V39+V40+V41,"n.a.")</f>
        <v>3155.6289999999999</v>
      </c>
    </row>
    <row r="48" spans="1:24" ht="13.5" thickBot="1" x14ac:dyDescent="0.35">
      <c r="A48" s="12" t="s">
        <v>148</v>
      </c>
      <c r="B48" s="12"/>
      <c r="C48" s="14" t="str">
        <f t="shared" ref="C48:V48" si="33">C4</f>
        <v>1Q 2016</v>
      </c>
      <c r="D48" s="14" t="str">
        <f t="shared" si="33"/>
        <v>1H 2016</v>
      </c>
      <c r="E48" s="14" t="str">
        <f t="shared" si="33"/>
        <v>9M 2016</v>
      </c>
      <c r="F48" s="14" t="str">
        <f t="shared" si="33"/>
        <v>FY 2016</v>
      </c>
      <c r="G48" s="14" t="str">
        <f t="shared" si="33"/>
        <v>1Q 2017</v>
      </c>
      <c r="H48" s="14" t="str">
        <f t="shared" si="33"/>
        <v>1H 2017</v>
      </c>
      <c r="I48" s="14" t="str">
        <f t="shared" si="33"/>
        <v>9M 2017</v>
      </c>
      <c r="J48" s="14" t="str">
        <f t="shared" si="33"/>
        <v>FY 2017</v>
      </c>
      <c r="K48" s="14" t="str">
        <f t="shared" si="33"/>
        <v>1Q 2018</v>
      </c>
      <c r="L48" s="14" t="str">
        <f t="shared" si="33"/>
        <v>1H 2018</v>
      </c>
      <c r="M48" s="14" t="str">
        <f t="shared" si="33"/>
        <v>9M 2018</v>
      </c>
      <c r="N48" s="14" t="str">
        <f t="shared" si="33"/>
        <v>FY 2018</v>
      </c>
      <c r="O48" s="14" t="str">
        <f t="shared" si="33"/>
        <v>1Q 2019</v>
      </c>
      <c r="P48" s="14" t="str">
        <f t="shared" si="33"/>
        <v>1H 2019</v>
      </c>
      <c r="Q48" s="14" t="str">
        <f t="shared" si="33"/>
        <v>9M 2019</v>
      </c>
      <c r="R48" s="14" t="str">
        <f t="shared" si="33"/>
        <v>FY 2019</v>
      </c>
      <c r="S48" s="14" t="str">
        <f t="shared" si="33"/>
        <v>1Q 2020</v>
      </c>
      <c r="T48" s="14" t="str">
        <f t="shared" si="33"/>
        <v>1H 2020</v>
      </c>
      <c r="U48" s="14" t="str">
        <f t="shared" si="33"/>
        <v>9M 2020</v>
      </c>
      <c r="V48" s="14" t="str">
        <f t="shared" si="33"/>
        <v>FY 2020</v>
      </c>
    </row>
    <row r="49" spans="1:25" x14ac:dyDescent="0.3">
      <c r="C49" s="133" t="str">
        <f t="shared" ref="C49:V49" si="34">C5</f>
        <v>restated</v>
      </c>
      <c r="D49" s="133" t="str">
        <f t="shared" si="34"/>
        <v>carve-out</v>
      </c>
      <c r="E49" s="133" t="str">
        <f t="shared" si="34"/>
        <v>restated</v>
      </c>
      <c r="F49" s="133" t="str">
        <f t="shared" si="34"/>
        <v>restated</v>
      </c>
      <c r="G49" s="133" t="str">
        <f t="shared" si="34"/>
        <v>reported</v>
      </c>
      <c r="H49" s="133" t="str">
        <f t="shared" si="34"/>
        <v>carve-out</v>
      </c>
      <c r="I49" s="133" t="str">
        <f t="shared" si="34"/>
        <v>reported</v>
      </c>
      <c r="J49" s="133" t="str">
        <f t="shared" si="34"/>
        <v>reported</v>
      </c>
      <c r="K49" s="133" t="str">
        <f t="shared" si="34"/>
        <v>reported</v>
      </c>
      <c r="L49" s="133" t="str">
        <f t="shared" si="34"/>
        <v>reported</v>
      </c>
      <c r="M49" s="133" t="str">
        <f t="shared" si="34"/>
        <v>reported</v>
      </c>
      <c r="N49" s="133" t="str">
        <f t="shared" si="34"/>
        <v>reported</v>
      </c>
      <c r="O49" s="133" t="str">
        <f t="shared" si="34"/>
        <v>reported</v>
      </c>
      <c r="P49" s="133" t="str">
        <f t="shared" si="34"/>
        <v>reported</v>
      </c>
      <c r="Q49" s="133" t="str">
        <f t="shared" si="34"/>
        <v>reported</v>
      </c>
      <c r="R49" s="133" t="str">
        <f t="shared" si="34"/>
        <v>reported</v>
      </c>
      <c r="S49" s="133" t="str">
        <f t="shared" si="34"/>
        <v>reported</v>
      </c>
      <c r="T49" s="133" t="str">
        <f t="shared" si="34"/>
        <v>reported</v>
      </c>
      <c r="U49" s="133" t="str">
        <f t="shared" si="34"/>
        <v>reported</v>
      </c>
      <c r="V49" s="133" t="str">
        <f t="shared" si="34"/>
        <v>reported</v>
      </c>
    </row>
    <row r="51" spans="1:25" ht="12.75" hidden="1" customHeight="1" outlineLevel="3" x14ac:dyDescent="0.3">
      <c r="A51" s="131" t="s">
        <v>20</v>
      </c>
      <c r="B51" s="154"/>
      <c r="C51" s="155">
        <f>'Fin. Highlights - interim'!C40</f>
        <v>-50.099999999999994</v>
      </c>
      <c r="D51" s="155" t="str">
        <f>'Fin. Highlights - interim'!E40</f>
        <v>n.a.</v>
      </c>
      <c r="E51" s="155">
        <f>'Fin. Highlights - interim'!G40</f>
        <v>22.699999999999925</v>
      </c>
      <c r="F51" s="155">
        <f>'Fin. Highlights - interim'!I40</f>
        <v>147.625</v>
      </c>
      <c r="G51" s="155">
        <f>'Fin. Highlights - interim'!J40</f>
        <v>-27.099999999999973</v>
      </c>
      <c r="H51" s="155" t="str">
        <f>'Fin. Highlights - interim'!L40</f>
        <v>n.a.</v>
      </c>
      <c r="I51" s="155">
        <f>'Fin. Highlights - interim'!N40</f>
        <v>123.89999999999998</v>
      </c>
      <c r="J51" s="155">
        <f>'Fin. Highlights - FY'!G40</f>
        <v>175.72499999999985</v>
      </c>
      <c r="K51" s="155">
        <f>'Fin. Highlights - interim'!Q40</f>
        <v>89.061000000000021</v>
      </c>
      <c r="L51" s="155">
        <f>'Fin. Highlights - interim'!S40</f>
        <v>177.15799999999999</v>
      </c>
      <c r="M51" s="155">
        <f>'Fin. Highlights - interim'!U40</f>
        <v>371.40000000000003</v>
      </c>
      <c r="N51" s="155">
        <f>'Fin. Highlights - interim'!W40</f>
        <v>442.39099999999985</v>
      </c>
      <c r="O51" s="155">
        <f>'Fin. Highlights - interim'!X40</f>
        <v>101.41799999999998</v>
      </c>
      <c r="P51" s="155">
        <f>'Fin. Highlights - interim'!Z40</f>
        <v>307</v>
      </c>
      <c r="Q51" s="155">
        <f>'Fin. Highlights - interim'!AB40</f>
        <v>385.69999999999993</v>
      </c>
      <c r="R51" s="155">
        <f>'Fin. Highlights - interim'!AD40</f>
        <v>457.65899999999999</v>
      </c>
      <c r="S51" s="155">
        <f>'Fin. Highlights - interim'!AE40</f>
        <v>38.462999999999987</v>
      </c>
      <c r="T51" s="155">
        <f>'Fin. Highlights - interim'!AG40</f>
        <v>-101.69</v>
      </c>
      <c r="U51" s="155">
        <f>'Fin. Highlights - interim'!AI40</f>
        <v>-17.859999999999989</v>
      </c>
      <c r="V51" s="155">
        <f>'Fin. Highlights - interim'!AK40</f>
        <v>42.745000000000047</v>
      </c>
    </row>
    <row r="52" spans="1:25" ht="12.75" hidden="1" customHeight="1" outlineLevel="3" x14ac:dyDescent="0.3">
      <c r="A52" s="142" t="s">
        <v>87</v>
      </c>
      <c r="B52" s="147"/>
      <c r="C52" s="77">
        <f>-'Fin. Highlights - interim'!C39</f>
        <v>19.7</v>
      </c>
      <c r="D52" s="77" t="str">
        <f>'Fin. Highlights - interim'!E39</f>
        <v>n.a.</v>
      </c>
      <c r="E52" s="77">
        <f>-'Fin. Highlights - interim'!G39</f>
        <v>13.1</v>
      </c>
      <c r="F52" s="77">
        <f>-'Fin. Highlights - interim'!I39</f>
        <v>16.361999999999998</v>
      </c>
      <c r="G52" s="77">
        <f>-'Fin. Highlights - interim'!J39</f>
        <v>76.599999999999994</v>
      </c>
      <c r="H52" s="77" t="str">
        <f>'Fin. Highlights - interim'!L39</f>
        <v>n.a.</v>
      </c>
      <c r="I52" s="77">
        <f>-'Fin. Highlights - interim'!N39</f>
        <v>75</v>
      </c>
      <c r="J52" s="77">
        <f>-'Fin. Highlights - FY'!G39</f>
        <v>87.561999999999998</v>
      </c>
      <c r="K52" s="77">
        <f>-'Fin. Highlights - interim'!Q39</f>
        <v>3.339</v>
      </c>
      <c r="L52" s="77">
        <f>-'Fin. Highlights - interim'!S39</f>
        <v>4.7419999999999991</v>
      </c>
      <c r="M52" s="77">
        <f>-'Fin. Highlights - interim'!U39</f>
        <v>6.7</v>
      </c>
      <c r="N52" s="77">
        <f>-'Fin. Highlights - interim'!W39</f>
        <v>6.4089999999999998</v>
      </c>
      <c r="O52" s="77">
        <f>-'Fin. Highlights - interim'!X39</f>
        <v>0</v>
      </c>
      <c r="P52" s="77">
        <f>-'Fin. Highlights - interim'!Z39</f>
        <v>0</v>
      </c>
      <c r="Q52" s="77">
        <f>-'Fin. Highlights - interim'!AB39</f>
        <v>0</v>
      </c>
      <c r="R52" s="77">
        <f>-'Fin. Highlights - interim'!AD39</f>
        <v>0</v>
      </c>
      <c r="S52" s="77">
        <f>-'Fin. Highlights - interim'!AE39</f>
        <v>0</v>
      </c>
      <c r="T52" s="77">
        <f>-'Fin. Highlights - interim'!AG39</f>
        <v>0</v>
      </c>
      <c r="U52" s="77">
        <f>-'Fin. Highlights - interim'!AI39</f>
        <v>0</v>
      </c>
      <c r="V52" s="77">
        <f>-'Fin. Highlights - interim'!AK39</f>
        <v>0</v>
      </c>
    </row>
    <row r="53" spans="1:25" ht="12.75" hidden="1" customHeight="1" outlineLevel="3" x14ac:dyDescent="0.3">
      <c r="A53" s="142" t="s">
        <v>88</v>
      </c>
      <c r="B53" s="147"/>
      <c r="C53" s="77">
        <f>-'Fin. Highlights - interim'!C36</f>
        <v>20.3</v>
      </c>
      <c r="D53" s="77">
        <f>-'Fin. Highlights - interim'!E36</f>
        <v>46.7</v>
      </c>
      <c r="E53" s="77">
        <f>-'Fin. Highlights - interim'!G36</f>
        <v>73.599999999999994</v>
      </c>
      <c r="F53" s="77">
        <f>-'Fin. Highlights - interim'!I36</f>
        <v>75.256</v>
      </c>
      <c r="G53" s="77">
        <f>-'Fin. Highlights - interim'!J36</f>
        <v>39.1</v>
      </c>
      <c r="H53" s="77">
        <f>-'Fin. Highlights - interim'!L36</f>
        <v>11.3</v>
      </c>
      <c r="I53" s="77">
        <f>-'Fin. Highlights - interim'!N36</f>
        <v>33.700000000000003</v>
      </c>
      <c r="J53" s="77">
        <f>-'Fin. Highlights - FY'!G36</f>
        <v>40.847999999999999</v>
      </c>
      <c r="K53" s="77">
        <f>-'Fin. Highlights - interim'!Q36</f>
        <v>37.200000000000003</v>
      </c>
      <c r="L53" s="77">
        <f>-'Fin. Highlights - interim'!S36</f>
        <v>73.3</v>
      </c>
      <c r="M53" s="77">
        <f>-'Fin. Highlights - interim'!U36</f>
        <v>66.7</v>
      </c>
      <c r="N53" s="77">
        <f>-'Fin. Highlights - interim'!W36</f>
        <v>53</v>
      </c>
      <c r="O53" s="77">
        <f>-'Fin. Highlights - interim'!X36</f>
        <v>35.597000000000001</v>
      </c>
      <c r="P53" s="77">
        <f>-'Fin. Highlights - interim'!Z36</f>
        <v>110.1</v>
      </c>
      <c r="Q53" s="77">
        <f>-'Fin. Highlights - interim'!AB36</f>
        <v>138.4</v>
      </c>
      <c r="R53" s="77">
        <f>-'Fin. Highlights - interim'!AD36</f>
        <v>164.56200000000001</v>
      </c>
      <c r="S53" s="77">
        <f>-'Fin. Highlights - interim'!AE36</f>
        <v>12.146000000000001</v>
      </c>
      <c r="T53" s="77">
        <f>-'Fin. Highlights - interim'!AG36-0.1</f>
        <v>-32.881</v>
      </c>
      <c r="U53" s="77">
        <f>-'Fin. Highlights - interim'!AI36</f>
        <v>-5.9530000000000003</v>
      </c>
      <c r="V53" s="77">
        <f>-'Fin. Highlights - interim'!AK36</f>
        <v>14.693</v>
      </c>
    </row>
    <row r="54" spans="1:25" ht="12.75" customHeight="1" outlineLevel="2" collapsed="1" x14ac:dyDescent="0.3">
      <c r="A54" s="132" t="s">
        <v>96</v>
      </c>
      <c r="B54" s="156"/>
      <c r="C54" s="157">
        <f>IFERROR(C51+C52+C53,"n.a.")</f>
        <v>-10.099999999999994</v>
      </c>
      <c r="D54" s="157">
        <f>SUM(D51,D53,-0.046)</f>
        <v>46.654000000000003</v>
      </c>
      <c r="E54" s="157">
        <f>IFERROR(E51+E52+E53,"n.a.")</f>
        <v>109.39999999999992</v>
      </c>
      <c r="F54" s="157">
        <f>IFERROR(F51+F52+F53,"n.a.")</f>
        <v>239.24299999999999</v>
      </c>
      <c r="G54" s="157">
        <f>IFERROR(G51+G52+G53,"n.a.")</f>
        <v>88.600000000000023</v>
      </c>
      <c r="H54" s="157">
        <f>SUM(H51,H53,0.026)</f>
        <v>11.326000000000001</v>
      </c>
      <c r="I54" s="157">
        <f t="shared" ref="I54:K54" si="35">IFERROR(I51+I52+I53,"n.a.")</f>
        <v>232.59999999999997</v>
      </c>
      <c r="J54" s="157">
        <f t="shared" si="35"/>
        <v>304.13499999999988</v>
      </c>
      <c r="K54" s="157">
        <f t="shared" si="35"/>
        <v>129.60000000000002</v>
      </c>
      <c r="L54" s="157">
        <f>IFERROR(L51+L52+L53+0.023,"n.a.")</f>
        <v>255.22299999999998</v>
      </c>
      <c r="M54" s="157">
        <f>IFERROR(M51+M52+M53-0.013,"n.a.")</f>
        <v>444.78700000000003</v>
      </c>
      <c r="N54" s="157">
        <f>IFERROR(N51+N52+N53,"n.a.")</f>
        <v>501.79999999999984</v>
      </c>
      <c r="O54" s="157">
        <f>IFERROR(O51+O52+O53+0.019,"n.a.")</f>
        <v>137.03399999999999</v>
      </c>
      <c r="P54" s="157">
        <f>IFERROR(P51+P52+P53+0.01,"n.a.")</f>
        <v>417.11</v>
      </c>
      <c r="Q54" s="157">
        <f>IFERROR(Q51+Q52+Q53-0.037,"n.a.")</f>
        <v>524.06299999999987</v>
      </c>
      <c r="R54" s="157">
        <f>IFERROR(R51+R52+R53+0.038,"n.a.")</f>
        <v>622.25900000000001</v>
      </c>
      <c r="S54" s="157">
        <f>IFERROR(S51+S52+S53+0.001,"n.a.")</f>
        <v>50.609999999999985</v>
      </c>
      <c r="T54" s="157">
        <f>IFERROR(T51+T52+T53,"n.a.")</f>
        <v>-134.571</v>
      </c>
      <c r="U54" s="157">
        <f>IFERROR(U51+U52+U53,"n.a.")</f>
        <v>-23.812999999999988</v>
      </c>
      <c r="V54" s="157">
        <f>IFERROR(V51+V52+V53-0.072,"n.a.")</f>
        <v>57.366000000000042</v>
      </c>
      <c r="X54" s="229"/>
    </row>
    <row r="55" spans="1:25" outlineLevel="2" x14ac:dyDescent="0.3">
      <c r="A55" s="136" t="s">
        <v>89</v>
      </c>
      <c r="B55" s="147"/>
      <c r="C55" s="71">
        <v>84.048000000000002</v>
      </c>
      <c r="D55" s="71">
        <v>168.98699999999999</v>
      </c>
      <c r="E55" s="71">
        <v>259.44099999999997</v>
      </c>
      <c r="F55" s="77">
        <f>'Cash Flow - FY'!F55</f>
        <v>342.584</v>
      </c>
      <c r="G55" s="71">
        <v>91.894999999999996</v>
      </c>
      <c r="H55" s="71">
        <v>182.52</v>
      </c>
      <c r="I55" s="71">
        <v>275.226</v>
      </c>
      <c r="J55" s="77">
        <f>'Cash Flow - FY'!G55</f>
        <v>371.45699999999999</v>
      </c>
      <c r="K55" s="71">
        <v>98.203999999999994</v>
      </c>
      <c r="L55" s="71">
        <v>195.107</v>
      </c>
      <c r="M55" s="71">
        <v>293.57299999999998</v>
      </c>
      <c r="N55" s="77">
        <f>'Cash Flow - FY'!H55</f>
        <v>414.52300000000002</v>
      </c>
      <c r="O55" s="71">
        <v>124.88500000000001</v>
      </c>
      <c r="P55" s="71">
        <v>268.21100000000001</v>
      </c>
      <c r="Q55" s="71">
        <v>394.50099999999998</v>
      </c>
      <c r="R55" s="77">
        <f>'Cash Flow - FY'!I55</f>
        <v>527.81799999999998</v>
      </c>
      <c r="S55" s="71">
        <v>133.47499999999999</v>
      </c>
      <c r="T55" s="71">
        <v>261.327</v>
      </c>
      <c r="U55" s="71">
        <v>386.10399999999998</v>
      </c>
      <c r="V55" s="77">
        <f>'Cash Flow - FY'!J55</f>
        <v>517.15200000000004</v>
      </c>
    </row>
    <row r="56" spans="1:25" outlineLevel="2" x14ac:dyDescent="0.3">
      <c r="A56" s="136" t="s">
        <v>350</v>
      </c>
      <c r="B56" s="147"/>
      <c r="C56" s="83">
        <f t="shared" ref="C56:R56" si="36">IFERROR(C57+C58,"n.a.")</f>
        <v>133.76499999999999</v>
      </c>
      <c r="D56" s="83">
        <f t="shared" si="36"/>
        <v>252.44499999999999</v>
      </c>
      <c r="E56" s="83">
        <f t="shared" si="36"/>
        <v>351.56599999999997</v>
      </c>
      <c r="F56" s="83">
        <f t="shared" si="36"/>
        <v>427.19</v>
      </c>
      <c r="G56" s="83">
        <f t="shared" si="36"/>
        <v>76.962999999999994</v>
      </c>
      <c r="H56" s="83">
        <f t="shared" si="36"/>
        <v>226.35599999999999</v>
      </c>
      <c r="I56" s="83">
        <f t="shared" si="36"/>
        <v>289.94799999999998</v>
      </c>
      <c r="J56" s="83">
        <f t="shared" si="36"/>
        <v>362.61</v>
      </c>
      <c r="K56" s="83">
        <f t="shared" si="36"/>
        <v>55.185000000000002</v>
      </c>
      <c r="L56" s="83">
        <f t="shared" si="36"/>
        <v>117.946</v>
      </c>
      <c r="M56" s="83">
        <f t="shared" si="36"/>
        <v>138.79900000000001</v>
      </c>
      <c r="N56" s="83">
        <f t="shared" si="36"/>
        <v>196.31100000000001</v>
      </c>
      <c r="O56" s="83">
        <f t="shared" si="36"/>
        <v>48.051000000000002</v>
      </c>
      <c r="P56" s="83">
        <f t="shared" si="36"/>
        <v>10.042999999999992</v>
      </c>
      <c r="Q56" s="83">
        <f t="shared" si="36"/>
        <v>75.166000000000011</v>
      </c>
      <c r="R56" s="83">
        <f t="shared" si="36"/>
        <v>109.47900000000001</v>
      </c>
      <c r="S56" s="83">
        <f>IFERROR(S57+S58,"n.a.")</f>
        <v>32.472999999999985</v>
      </c>
      <c r="T56" s="83">
        <f t="shared" ref="T56:U56" si="37">IFERROR(T57+T58,"n.a.")</f>
        <v>73.150000000000006</v>
      </c>
      <c r="U56" s="83">
        <f t="shared" si="37"/>
        <v>113.31700000000001</v>
      </c>
      <c r="V56" s="77">
        <f>'Cash Flow - FY'!J56</f>
        <v>156.50200000000001</v>
      </c>
    </row>
    <row r="57" spans="1:25" hidden="1" outlineLevel="3" x14ac:dyDescent="0.3">
      <c r="A57" s="136" t="s">
        <v>90</v>
      </c>
      <c r="B57" s="147"/>
      <c r="C57" s="71">
        <v>161.99299999999999</v>
      </c>
      <c r="D57" s="71">
        <v>308.697</v>
      </c>
      <c r="E57" s="71">
        <v>413.01299999999998</v>
      </c>
      <c r="F57" s="77">
        <f>'Cash Flow - FY'!F57</f>
        <v>469.99599999999998</v>
      </c>
      <c r="G57" s="71">
        <v>135.523</v>
      </c>
      <c r="H57" s="71">
        <v>322.863</v>
      </c>
      <c r="I57" s="71">
        <v>443.666</v>
      </c>
      <c r="J57" s="77">
        <f>'Cash Flow - FY'!G57</f>
        <v>491.15</v>
      </c>
      <c r="K57" s="71">
        <v>97.045000000000002</v>
      </c>
      <c r="L57" s="71">
        <v>191.001</v>
      </c>
      <c r="M57" s="71">
        <v>249.65700000000001</v>
      </c>
      <c r="N57" s="77">
        <f>'Cash Flow - FY'!H57</f>
        <v>255.173</v>
      </c>
      <c r="O57" s="71">
        <v>66.918000000000006</v>
      </c>
      <c r="P57" s="71">
        <v>131.13999999999999</v>
      </c>
      <c r="Q57" s="71">
        <v>188.71</v>
      </c>
      <c r="R57" s="77">
        <f>'Cash Flow - FY'!I57</f>
        <v>238.24</v>
      </c>
      <c r="S57" s="71">
        <v>191.023</v>
      </c>
      <c r="T57" s="71">
        <v>240.166</v>
      </c>
      <c r="U57" s="71">
        <v>303.82400000000001</v>
      </c>
      <c r="V57" s="77" t="str">
        <f>'Cash Flow - FY'!J57</f>
        <v>n.a.</v>
      </c>
    </row>
    <row r="58" spans="1:25" hidden="1" outlineLevel="3" x14ac:dyDescent="0.3">
      <c r="A58" s="136" t="s">
        <v>91</v>
      </c>
      <c r="B58" s="147"/>
      <c r="C58" s="71">
        <v>-28.228000000000002</v>
      </c>
      <c r="D58" s="71">
        <v>-56.252000000000002</v>
      </c>
      <c r="E58" s="71">
        <v>-61.447000000000003</v>
      </c>
      <c r="F58" s="77">
        <f>'Cash Flow - FY'!F58</f>
        <v>-42.805999999999997</v>
      </c>
      <c r="G58" s="71">
        <v>-58.56</v>
      </c>
      <c r="H58" s="71">
        <v>-96.507000000000005</v>
      </c>
      <c r="I58" s="71">
        <v>-153.71799999999999</v>
      </c>
      <c r="J58" s="77">
        <f>'Cash Flow - FY'!G58</f>
        <v>-128.54</v>
      </c>
      <c r="K58" s="71">
        <v>-41.86</v>
      </c>
      <c r="L58" s="71">
        <v>-73.055000000000007</v>
      </c>
      <c r="M58" s="71">
        <v>-110.858</v>
      </c>
      <c r="N58" s="77">
        <f>'Cash Flow - FY'!H58</f>
        <v>-58.862000000000002</v>
      </c>
      <c r="O58" s="71">
        <v>-18.867000000000001</v>
      </c>
      <c r="P58" s="71">
        <v>-121.09699999999999</v>
      </c>
      <c r="Q58" s="71">
        <v>-113.544</v>
      </c>
      <c r="R58" s="77">
        <f>'Cash Flow - FY'!I58</f>
        <v>-128.761</v>
      </c>
      <c r="S58" s="71">
        <v>-158.55000000000001</v>
      </c>
      <c r="T58" s="71">
        <v>-167.01599999999999</v>
      </c>
      <c r="U58" s="71">
        <v>-190.50700000000001</v>
      </c>
      <c r="V58" s="77" t="str">
        <f>'Cash Flow - FY'!J58</f>
        <v>n.a.</v>
      </c>
    </row>
    <row r="59" spans="1:25" outlineLevel="2" collapsed="1" x14ac:dyDescent="0.3">
      <c r="A59" s="136" t="s">
        <v>92</v>
      </c>
      <c r="B59" s="147"/>
      <c r="C59" s="71">
        <v>0</v>
      </c>
      <c r="D59" s="71">
        <v>0</v>
      </c>
      <c r="E59" s="71">
        <v>0</v>
      </c>
      <c r="F59" s="77">
        <f>'Cash Flow - FY'!F59</f>
        <v>0</v>
      </c>
      <c r="G59" s="71">
        <v>0</v>
      </c>
      <c r="H59" s="71">
        <v>0</v>
      </c>
      <c r="I59" s="71">
        <v>0</v>
      </c>
      <c r="J59" s="77">
        <f>'Cash Flow - FY'!G59</f>
        <v>0</v>
      </c>
      <c r="K59" s="71">
        <v>0</v>
      </c>
      <c r="L59" s="71">
        <v>0</v>
      </c>
      <c r="M59" s="71">
        <v>0</v>
      </c>
      <c r="N59" s="77">
        <f>'Cash Flow - FY'!H59</f>
        <v>0</v>
      </c>
      <c r="O59" s="71">
        <v>0</v>
      </c>
      <c r="P59" s="71">
        <v>0</v>
      </c>
      <c r="Q59" s="71">
        <v>0</v>
      </c>
      <c r="R59" s="77">
        <f>'Cash Flow - FY'!I59</f>
        <v>0</v>
      </c>
      <c r="S59" s="71">
        <v>0</v>
      </c>
      <c r="T59" s="71">
        <v>0</v>
      </c>
      <c r="U59" s="71">
        <v>0</v>
      </c>
      <c r="V59" s="77">
        <f>'Cash Flow - FY'!J59</f>
        <v>0</v>
      </c>
    </row>
    <row r="60" spans="1:25" outlineLevel="2" x14ac:dyDescent="0.3">
      <c r="A60" s="136" t="s">
        <v>93</v>
      </c>
      <c r="B60" s="147"/>
      <c r="C60" s="71">
        <v>0</v>
      </c>
      <c r="D60" s="71">
        <v>-1.7969999999999999</v>
      </c>
      <c r="E60" s="71">
        <v>-1.796</v>
      </c>
      <c r="F60" s="77">
        <f>'Cash Flow - FY'!F60</f>
        <v>-6.65</v>
      </c>
      <c r="G60" s="71">
        <v>0</v>
      </c>
      <c r="H60" s="71">
        <v>-4.8000000000000001E-2</v>
      </c>
      <c r="I60" s="71">
        <v>-0.13700000000000001</v>
      </c>
      <c r="J60" s="77">
        <f>'Cash Flow - FY'!G60</f>
        <v>-9.8339999999999996</v>
      </c>
      <c r="K60" s="71">
        <v>0</v>
      </c>
      <c r="L60" s="71">
        <v>-0.59599999999999997</v>
      </c>
      <c r="M60" s="71">
        <v>-1.6719999999999999</v>
      </c>
      <c r="N60" s="77">
        <f>'Cash Flow - FY'!H60</f>
        <v>-4.1760000000000002</v>
      </c>
      <c r="O60" s="71">
        <v>0</v>
      </c>
      <c r="P60" s="71">
        <v>-1.724</v>
      </c>
      <c r="Q60" s="71">
        <v>-4.556</v>
      </c>
      <c r="R60" s="77">
        <f>'Cash Flow - FY'!I60</f>
        <v>-5.5259999999999998</v>
      </c>
      <c r="S60" s="71">
        <v>0</v>
      </c>
      <c r="T60" s="71">
        <v>-6.5000000000000002E-2</v>
      </c>
      <c r="U60" s="71">
        <v>-6.5000000000000002E-2</v>
      </c>
      <c r="V60" s="77">
        <f>'Cash Flow - FY'!J60</f>
        <v>-6.5000000000000002E-2</v>
      </c>
    </row>
    <row r="61" spans="1:25" outlineLevel="2" x14ac:dyDescent="0.3">
      <c r="A61" s="136" t="s">
        <v>94</v>
      </c>
      <c r="B61" s="147"/>
      <c r="C61" s="71">
        <v>6.7030000000000003</v>
      </c>
      <c r="D61" s="71">
        <v>11.750999999999999</v>
      </c>
      <c r="E61" s="71">
        <v>11.76</v>
      </c>
      <c r="F61" s="77">
        <f>'Cash Flow - FY'!F61</f>
        <v>25.442</v>
      </c>
      <c r="G61" s="71">
        <v>-6.5000000000000002E-2</v>
      </c>
      <c r="H61" s="71">
        <v>7.3689999999999998</v>
      </c>
      <c r="I61" s="71">
        <v>10.071999999999999</v>
      </c>
      <c r="J61" s="77">
        <f>'Cash Flow - FY'!G61</f>
        <v>8.4369999999999994</v>
      </c>
      <c r="K61" s="71">
        <v>-4.01</v>
      </c>
      <c r="L61" s="71">
        <v>-3.133</v>
      </c>
      <c r="M61" s="71">
        <v>-2.4020000000000001</v>
      </c>
      <c r="N61" s="77">
        <f>'Cash Flow - FY'!H61</f>
        <v>-2.4039999999999999</v>
      </c>
      <c r="O61" s="71">
        <v>-1.6819999999999999</v>
      </c>
      <c r="P61" s="71">
        <v>-1.7869999999999999</v>
      </c>
      <c r="Q61" s="71">
        <v>-1.6830000000000001</v>
      </c>
      <c r="R61" s="77">
        <f>'Cash Flow - FY'!I61</f>
        <v>6.8540000000000001</v>
      </c>
      <c r="S61" s="71">
        <v>0.85299999999999998</v>
      </c>
      <c r="T61" s="71">
        <v>0.84699999999999998</v>
      </c>
      <c r="U61" s="71">
        <v>0.84699999999999998</v>
      </c>
      <c r="V61" s="77">
        <f>'Cash Flow - FY'!J61</f>
        <v>-0.29299999999999998</v>
      </c>
    </row>
    <row r="62" spans="1:25" outlineLevel="2" x14ac:dyDescent="0.3">
      <c r="A62" s="136" t="s">
        <v>95</v>
      </c>
      <c r="B62" s="147"/>
      <c r="C62" s="71">
        <v>35.779000000000003</v>
      </c>
      <c r="D62" s="71">
        <v>38.835000000000001</v>
      </c>
      <c r="E62" s="71">
        <v>42.765000000000001</v>
      </c>
      <c r="F62" s="77">
        <f>'Cash Flow - FY'!F62</f>
        <v>1.2270000000000001</v>
      </c>
      <c r="G62" s="71">
        <v>3.2</v>
      </c>
      <c r="H62" s="71">
        <v>5.56</v>
      </c>
      <c r="I62" s="71">
        <v>8.6560000000000006</v>
      </c>
      <c r="J62" s="77">
        <f>'Cash Flow - FY'!G62</f>
        <v>8.2520000000000007</v>
      </c>
      <c r="K62" s="71">
        <v>3.2370000000000001</v>
      </c>
      <c r="L62" s="71">
        <v>8.2579999999999991</v>
      </c>
      <c r="M62" s="71">
        <v>11.9</v>
      </c>
      <c r="N62" s="77">
        <f>'Cash Flow - FY'!H62</f>
        <v>11.56</v>
      </c>
      <c r="O62" s="71">
        <v>-0.33</v>
      </c>
      <c r="P62" s="71">
        <v>1.355</v>
      </c>
      <c r="Q62" s="71">
        <v>4.8689999999999998</v>
      </c>
      <c r="R62" s="77">
        <f>'Cash Flow - FY'!I62</f>
        <v>9.6780000000000008</v>
      </c>
      <c r="S62" s="71">
        <v>4.4349999999999996</v>
      </c>
      <c r="T62" s="71">
        <v>3.851</v>
      </c>
      <c r="U62" s="71">
        <v>5.3259999999999996</v>
      </c>
      <c r="V62" s="77">
        <f>'Cash Flow - FY'!J62</f>
        <v>5.6289999999999996</v>
      </c>
    </row>
    <row r="63" spans="1:25" s="25" customFormat="1" ht="13" outlineLevel="1" x14ac:dyDescent="0.3">
      <c r="A63" s="95" t="s">
        <v>111</v>
      </c>
      <c r="B63" s="156"/>
      <c r="C63" s="157">
        <f t="shared" ref="C63:U63" si="38">IFERROR(C54+C55+C56+C59+C60+C61+C62,"n.a.")</f>
        <v>250.19499999999999</v>
      </c>
      <c r="D63" s="157">
        <f t="shared" si="38"/>
        <v>516.875</v>
      </c>
      <c r="E63" s="157">
        <f t="shared" si="38"/>
        <v>773.13599999999985</v>
      </c>
      <c r="F63" s="157">
        <f t="shared" si="38"/>
        <v>1029.0360000000001</v>
      </c>
      <c r="G63" s="157">
        <f t="shared" si="38"/>
        <v>260.59299999999996</v>
      </c>
      <c r="H63" s="157">
        <f t="shared" si="38"/>
        <v>433.08300000000003</v>
      </c>
      <c r="I63" s="157">
        <f t="shared" si="38"/>
        <v>816.3649999999999</v>
      </c>
      <c r="J63" s="157">
        <f t="shared" si="38"/>
        <v>1045.0569999999996</v>
      </c>
      <c r="K63" s="157">
        <f t="shared" si="38"/>
        <v>282.21600000000007</v>
      </c>
      <c r="L63" s="157">
        <f t="shared" si="38"/>
        <v>572.80499999999995</v>
      </c>
      <c r="M63" s="157">
        <f t="shared" si="38"/>
        <v>884.9849999999999</v>
      </c>
      <c r="N63" s="157">
        <f t="shared" si="38"/>
        <v>1117.6139999999998</v>
      </c>
      <c r="O63" s="157">
        <f t="shared" si="38"/>
        <v>307.95799999999997</v>
      </c>
      <c r="P63" s="157">
        <f t="shared" si="38"/>
        <v>693.20799999999997</v>
      </c>
      <c r="Q63" s="157">
        <f t="shared" si="38"/>
        <v>992.3599999999999</v>
      </c>
      <c r="R63" s="157">
        <f t="shared" si="38"/>
        <v>1270.5620000000001</v>
      </c>
      <c r="S63" s="157">
        <f t="shared" si="38"/>
        <v>221.84599999999998</v>
      </c>
      <c r="T63" s="157">
        <f t="shared" si="38"/>
        <v>204.53900000000002</v>
      </c>
      <c r="U63" s="157">
        <f t="shared" si="38"/>
        <v>481.71600000000001</v>
      </c>
      <c r="V63" s="157">
        <f>IFERROR(V54+V55+V56+V59+V60+V61+V62,"n.a.")</f>
        <v>736.29099999999994</v>
      </c>
      <c r="W63" s="2"/>
      <c r="X63" s="2"/>
      <c r="Y63" s="2"/>
    </row>
    <row r="64" spans="1:25" outlineLevel="1" x14ac:dyDescent="0.3">
      <c r="A64" s="138" t="s">
        <v>311</v>
      </c>
      <c r="B64" s="147"/>
      <c r="C64" s="71">
        <v>6.4390000000000001</v>
      </c>
      <c r="D64" s="71">
        <v>-15.968</v>
      </c>
      <c r="E64" s="71">
        <v>1.27</v>
      </c>
      <c r="F64" s="77">
        <f>'Cash Flow - FY'!F64</f>
        <v>-39.481999999999999</v>
      </c>
      <c r="G64" s="71">
        <v>2.5680000000000001</v>
      </c>
      <c r="H64" s="71">
        <v>1.992</v>
      </c>
      <c r="I64" s="71">
        <v>14.188000000000001</v>
      </c>
      <c r="J64" s="77">
        <f>'Cash Flow - FY'!G64</f>
        <v>-41.734000000000002</v>
      </c>
      <c r="K64" s="71">
        <v>-9.657</v>
      </c>
      <c r="L64" s="71">
        <v>-3.6789999999999998</v>
      </c>
      <c r="M64" s="71">
        <v>3.8780000000000001</v>
      </c>
      <c r="N64" s="77">
        <f>'Cash Flow - FY'!H64</f>
        <v>-12.914999999999999</v>
      </c>
      <c r="O64" s="71">
        <v>10.521000000000001</v>
      </c>
      <c r="P64" s="71">
        <v>-8.6530000000000005</v>
      </c>
      <c r="Q64" s="71">
        <v>15.8</v>
      </c>
      <c r="R64" s="77">
        <f>'Cash Flow - FY'!I64</f>
        <v>37.509</v>
      </c>
      <c r="S64" s="71">
        <v>11.007</v>
      </c>
      <c r="T64" s="71">
        <v>32.517000000000003</v>
      </c>
      <c r="U64" s="71">
        <v>48.283999999999999</v>
      </c>
      <c r="V64" s="77">
        <f>'Cash Flow - FY'!J64</f>
        <v>64.781000000000006</v>
      </c>
    </row>
    <row r="65" spans="1:25" outlineLevel="1" x14ac:dyDescent="0.3">
      <c r="A65" s="138" t="s">
        <v>327</v>
      </c>
      <c r="B65" s="147"/>
      <c r="C65" s="71">
        <v>-26.7</v>
      </c>
      <c r="D65" s="71">
        <v>-59.9</v>
      </c>
      <c r="E65" s="71">
        <v>-95.5</v>
      </c>
      <c r="F65" s="77">
        <f>'Cash Flow - FY'!F65</f>
        <v>-104.456</v>
      </c>
      <c r="G65" s="71">
        <v>-45.664000000000001</v>
      </c>
      <c r="H65" s="71">
        <v>-11.331</v>
      </c>
      <c r="I65" s="71">
        <v>-33.701000000000001</v>
      </c>
      <c r="J65" s="77">
        <f>'Cash Flow - FY'!G65</f>
        <v>-135.5</v>
      </c>
      <c r="K65" s="71">
        <v>-31.077999999999999</v>
      </c>
      <c r="L65" s="71">
        <v>-67.25</v>
      </c>
      <c r="M65" s="71">
        <v>-101.11799999999999</v>
      </c>
      <c r="N65" s="77">
        <f>'Cash Flow - FY'!H65</f>
        <v>-119.042</v>
      </c>
      <c r="O65" s="71">
        <v>-30.146999999999998</v>
      </c>
      <c r="P65" s="71">
        <v>-75.992000000000004</v>
      </c>
      <c r="Q65" s="71">
        <v>-113.379</v>
      </c>
      <c r="R65" s="77">
        <f>'Cash Flow - FY'!I65</f>
        <v>-141.98500000000001</v>
      </c>
      <c r="S65" s="71">
        <v>-31.42</v>
      </c>
      <c r="T65" s="71">
        <v>-53.774000000000001</v>
      </c>
      <c r="U65" s="71">
        <v>-69.97</v>
      </c>
      <c r="V65" s="77">
        <f>'Cash Flow - FY'!J65</f>
        <v>-90.691999999999993</v>
      </c>
    </row>
    <row r="66" spans="1:25" outlineLevel="1" x14ac:dyDescent="0.3">
      <c r="A66" s="138" t="s">
        <v>97</v>
      </c>
      <c r="B66" s="147"/>
      <c r="C66" s="71">
        <v>-22.712</v>
      </c>
      <c r="D66" s="71">
        <v>1.1319999999999999</v>
      </c>
      <c r="E66" s="71">
        <v>50.871000000000002</v>
      </c>
      <c r="F66" s="77">
        <f>'Cash Flow - FY'!F66</f>
        <v>48.28</v>
      </c>
      <c r="G66" s="71">
        <v>-28.573</v>
      </c>
      <c r="H66" s="71">
        <v>-103.611</v>
      </c>
      <c r="I66" s="71">
        <v>-126.146</v>
      </c>
      <c r="J66" s="77">
        <f>'Cash Flow - FY'!G66</f>
        <v>-109.76808642764956</v>
      </c>
      <c r="K66" s="71">
        <v>-5.2969999999999997</v>
      </c>
      <c r="L66" s="71">
        <v>-74.164000000000001</v>
      </c>
      <c r="M66" s="71">
        <v>-153.292</v>
      </c>
      <c r="N66" s="77">
        <f>'Cash Flow - FY'!H66</f>
        <v>-199.91900000000001</v>
      </c>
      <c r="O66" s="71">
        <v>-22.036999999999999</v>
      </c>
      <c r="P66" s="71">
        <v>-29.71</v>
      </c>
      <c r="Q66" s="71">
        <v>23.445</v>
      </c>
      <c r="R66" s="77">
        <f>'Cash Flow - FY'!I66</f>
        <v>28.3</v>
      </c>
      <c r="S66" s="71">
        <v>-114.581</v>
      </c>
      <c r="T66" s="71">
        <v>42.34</v>
      </c>
      <c r="U66" s="71">
        <v>159.66900000000001</v>
      </c>
      <c r="V66" s="77">
        <f>'Cash Flow - FY'!J66</f>
        <v>140.64500000000001</v>
      </c>
      <c r="X66" s="235"/>
    </row>
    <row r="67" spans="1:25" outlineLevel="1" x14ac:dyDescent="0.3">
      <c r="A67" s="138" t="s">
        <v>98</v>
      </c>
      <c r="B67" s="147"/>
      <c r="C67" s="71">
        <v>-182.13800000000001</v>
      </c>
      <c r="D67" s="71">
        <v>-282.31599999999997</v>
      </c>
      <c r="E67" s="71">
        <v>-131.714</v>
      </c>
      <c r="F67" s="77">
        <f>'Cash Flow - FY'!F67</f>
        <v>144.917</v>
      </c>
      <c r="G67" s="71">
        <v>-265</v>
      </c>
      <c r="H67" s="71">
        <v>-235.98500000000001</v>
      </c>
      <c r="I67" s="71">
        <v>-299.084</v>
      </c>
      <c r="J67" s="77">
        <f>'Cash Flow - FY'!G67</f>
        <v>73.644000000000005</v>
      </c>
      <c r="K67" s="71">
        <v>-232.499</v>
      </c>
      <c r="L67" s="71">
        <v>-236.49700000000001</v>
      </c>
      <c r="M67" s="71">
        <v>-355.89699999999999</v>
      </c>
      <c r="N67" s="77">
        <f>'Cash Flow - FY'!H67</f>
        <v>-23.388000000000002</v>
      </c>
      <c r="O67" s="71">
        <v>-223.31399999999999</v>
      </c>
      <c r="P67" s="71">
        <v>-236.67500000000001</v>
      </c>
      <c r="Q67" s="71">
        <v>-357.00700000000001</v>
      </c>
      <c r="R67" s="77">
        <f>'Cash Flow - FY'!I67</f>
        <v>-44.637</v>
      </c>
      <c r="S67" s="71">
        <v>-60.811999999999998</v>
      </c>
      <c r="T67" s="71">
        <v>-39.002000000000002</v>
      </c>
      <c r="U67" s="71">
        <v>-399.17399999999998</v>
      </c>
      <c r="V67" s="77">
        <f>'Cash Flow - FY'!J67</f>
        <v>-35.323999999999998</v>
      </c>
      <c r="X67" s="235"/>
    </row>
    <row r="68" spans="1:25" outlineLevel="1" x14ac:dyDescent="0.3">
      <c r="A68" s="138" t="s">
        <v>99</v>
      </c>
      <c r="B68" s="147"/>
      <c r="C68" s="71">
        <v>-412.27499999999998</v>
      </c>
      <c r="D68" s="71">
        <v>-181.399</v>
      </c>
      <c r="E68" s="71">
        <v>-277.63799999999998</v>
      </c>
      <c r="F68" s="77">
        <f>'Cash Flow - FY'!F68</f>
        <v>201.845</v>
      </c>
      <c r="G68" s="71">
        <v>-284.84399999999999</v>
      </c>
      <c r="H68" s="71">
        <v>-97.983999999999995</v>
      </c>
      <c r="I68" s="71">
        <v>-187.358</v>
      </c>
      <c r="J68" s="77">
        <f>'Cash Flow - FY'!G68</f>
        <v>447.38499999999999</v>
      </c>
      <c r="K68" s="71">
        <v>-553.1</v>
      </c>
      <c r="L68" s="71">
        <v>-497.80399999999997</v>
      </c>
      <c r="M68" s="71">
        <v>-483.89299999999997</v>
      </c>
      <c r="N68" s="77">
        <f>'Cash Flow - FY'!H68</f>
        <v>104.663</v>
      </c>
      <c r="O68" s="71">
        <v>-483.46800000000002</v>
      </c>
      <c r="P68" s="71">
        <v>-412.33300000000003</v>
      </c>
      <c r="Q68" s="71">
        <v>-455.10399999999998</v>
      </c>
      <c r="R68" s="77">
        <f>'Cash Flow - FY'!I68</f>
        <v>18.815000000000001</v>
      </c>
      <c r="S68" s="71">
        <v>-577.68799999999999</v>
      </c>
      <c r="T68" s="71">
        <v>-649.01099999999997</v>
      </c>
      <c r="U68" s="71">
        <v>-659.18200000000002</v>
      </c>
      <c r="V68" s="77">
        <f>'Cash Flow - FY'!J68</f>
        <v>-184.60400000000001</v>
      </c>
      <c r="X68" s="235"/>
    </row>
    <row r="69" spans="1:25" outlineLevel="1" x14ac:dyDescent="0.3">
      <c r="A69" s="138" t="s">
        <v>100</v>
      </c>
      <c r="B69" s="147"/>
      <c r="C69" s="71">
        <v>-47.5</v>
      </c>
      <c r="D69" s="71">
        <v>-137.19999999999999</v>
      </c>
      <c r="E69" s="71">
        <v>-206.1</v>
      </c>
      <c r="F69" s="77">
        <f>'Cash Flow - FY'!F69</f>
        <v>-38.462000000000003</v>
      </c>
      <c r="G69" s="71">
        <v>-151.042</v>
      </c>
      <c r="H69" s="71">
        <v>-219.03</v>
      </c>
      <c r="I69" s="71">
        <v>-198.107</v>
      </c>
      <c r="J69" s="77">
        <f>'Cash Flow - FY'!G69</f>
        <v>-39.423000000000002</v>
      </c>
      <c r="K69" s="71">
        <v>-122.944</v>
      </c>
      <c r="L69" s="71">
        <v>-169.75</v>
      </c>
      <c r="M69" s="71">
        <v>-159.69300000000001</v>
      </c>
      <c r="N69" s="77">
        <f>'Cash Flow - FY'!H69</f>
        <v>-151.42500000000001</v>
      </c>
      <c r="O69" s="71">
        <v>-84.421999999999997</v>
      </c>
      <c r="P69" s="71">
        <f>-88.841-71.765</f>
        <v>-160.60599999999999</v>
      </c>
      <c r="Q69" s="71">
        <f>-81.212-71.773</f>
        <v>-152.98500000000001</v>
      </c>
      <c r="R69" s="83">
        <f t="shared" ref="R69" si="39">IFERROR(R70+R71,"n.a.")</f>
        <v>-79.606999999999999</v>
      </c>
      <c r="S69" s="71">
        <v>-95.513999999999996</v>
      </c>
      <c r="T69" s="71">
        <v>-70.569000000000003</v>
      </c>
      <c r="U69" s="71">
        <v>13.848000000000001</v>
      </c>
      <c r="V69" s="83">
        <f t="shared" ref="V69" si="40">IFERROR(V70+V71,"n.a.")</f>
        <v>82.480999999999995</v>
      </c>
      <c r="X69" s="235"/>
    </row>
    <row r="70" spans="1:25" outlineLevel="2" x14ac:dyDescent="0.3">
      <c r="A70" s="136" t="s">
        <v>363</v>
      </c>
      <c r="B70" s="147"/>
      <c r="C70" s="71" t="s">
        <v>230</v>
      </c>
      <c r="D70" s="71" t="s">
        <v>230</v>
      </c>
      <c r="E70" s="71" t="s">
        <v>230</v>
      </c>
      <c r="F70" s="77" t="str">
        <f>'Cash Flow - FY'!F70</f>
        <v>n.a.</v>
      </c>
      <c r="G70" s="71" t="s">
        <v>230</v>
      </c>
      <c r="H70" s="71" t="s">
        <v>230</v>
      </c>
      <c r="I70" s="71" t="s">
        <v>230</v>
      </c>
      <c r="J70" s="77" t="str">
        <f>'Cash Flow - FY'!G70</f>
        <v>n.a.</v>
      </c>
      <c r="K70" s="71" t="s">
        <v>230</v>
      </c>
      <c r="L70" s="71" t="s">
        <v>230</v>
      </c>
      <c r="M70" s="71" t="s">
        <v>230</v>
      </c>
      <c r="N70" s="77" t="str">
        <f>'Cash Flow - FY'!H70</f>
        <v>n.a.</v>
      </c>
      <c r="O70" s="71" t="s">
        <v>230</v>
      </c>
      <c r="P70" s="71" t="s">
        <v>230</v>
      </c>
      <c r="Q70" s="71" t="s">
        <v>230</v>
      </c>
      <c r="R70" s="77">
        <f>'Cash Flow - FY'!I70</f>
        <v>-32.161000000000001</v>
      </c>
      <c r="S70" s="71" t="s">
        <v>230</v>
      </c>
      <c r="T70" s="71" t="s">
        <v>230</v>
      </c>
      <c r="U70" s="71" t="s">
        <v>230</v>
      </c>
      <c r="V70" s="77">
        <f>'Cash Flow - FY'!J70</f>
        <v>21.925999999999998</v>
      </c>
      <c r="X70" s="235"/>
    </row>
    <row r="71" spans="1:25" outlineLevel="2" x14ac:dyDescent="0.3">
      <c r="A71" s="136" t="s">
        <v>364</v>
      </c>
      <c r="B71" s="147"/>
      <c r="C71" s="71" t="s">
        <v>230</v>
      </c>
      <c r="D71" s="71" t="s">
        <v>230</v>
      </c>
      <c r="E71" s="71" t="s">
        <v>230</v>
      </c>
      <c r="F71" s="77" t="str">
        <f>'Cash Flow - FY'!F71</f>
        <v>n.a.</v>
      </c>
      <c r="G71" s="71" t="s">
        <v>230</v>
      </c>
      <c r="H71" s="71" t="s">
        <v>230</v>
      </c>
      <c r="I71" s="71" t="s">
        <v>230</v>
      </c>
      <c r="J71" s="77" t="str">
        <f>'Cash Flow - FY'!G71</f>
        <v>n.a.</v>
      </c>
      <c r="K71" s="71" t="s">
        <v>230</v>
      </c>
      <c r="L71" s="71" t="s">
        <v>230</v>
      </c>
      <c r="M71" s="71" t="s">
        <v>230</v>
      </c>
      <c r="N71" s="77" t="str">
        <f>'Cash Flow - FY'!H71</f>
        <v>n.a.</v>
      </c>
      <c r="O71" s="71" t="s">
        <v>230</v>
      </c>
      <c r="P71" s="71" t="s">
        <v>230</v>
      </c>
      <c r="Q71" s="71" t="s">
        <v>230</v>
      </c>
      <c r="R71" s="77">
        <f>'Cash Flow - FY'!I71</f>
        <v>-47.445999999999998</v>
      </c>
      <c r="S71" s="71" t="s">
        <v>230</v>
      </c>
      <c r="T71" s="71" t="s">
        <v>230</v>
      </c>
      <c r="U71" s="71" t="s">
        <v>230</v>
      </c>
      <c r="V71" s="77">
        <f>'Cash Flow - FY'!J71</f>
        <v>60.555</v>
      </c>
      <c r="X71" s="235"/>
    </row>
    <row r="72" spans="1:25" outlineLevel="1" x14ac:dyDescent="0.3">
      <c r="A72" s="138" t="s">
        <v>328</v>
      </c>
      <c r="B72" s="147"/>
      <c r="C72" s="71">
        <v>-12.811</v>
      </c>
      <c r="D72" s="71">
        <v>-30.684999999999999</v>
      </c>
      <c r="E72" s="71">
        <v>-71.820999999999998</v>
      </c>
      <c r="F72" s="77">
        <f>'Cash Flow - FY'!F72</f>
        <v>-155.50200000000001</v>
      </c>
      <c r="G72" s="71">
        <v>-37.962000000000003</v>
      </c>
      <c r="H72" s="71">
        <v>-31.268000000000001</v>
      </c>
      <c r="I72" s="71">
        <v>-97.65</v>
      </c>
      <c r="J72" s="77">
        <f>'Cash Flow - FY'!G72</f>
        <v>-102.01</v>
      </c>
      <c r="K72" s="71">
        <v>-13.99</v>
      </c>
      <c r="L72" s="71">
        <v>-7.1589999999999998</v>
      </c>
      <c r="M72" s="71">
        <v>-92.963999999999999</v>
      </c>
      <c r="N72" s="77">
        <f>'Cash Flow - FY'!H72</f>
        <v>-57.226999999999997</v>
      </c>
      <c r="O72" s="71">
        <v>-10.741</v>
      </c>
      <c r="P72" s="71">
        <v>-32.600999999999999</v>
      </c>
      <c r="Q72" s="71">
        <v>-44.749000000000002</v>
      </c>
      <c r="R72" s="83">
        <f t="shared" ref="R72" si="41">IFERROR(R73+R74,"n.a.")</f>
        <v>-66.254999999999995</v>
      </c>
      <c r="S72" s="71">
        <v>-13.019</v>
      </c>
      <c r="T72" s="71">
        <v>-12.827</v>
      </c>
      <c r="U72" s="71">
        <v>-42.009</v>
      </c>
      <c r="V72" s="83">
        <f t="shared" ref="V72" si="42">IFERROR(V73+V74,"n.a.")</f>
        <v>-95.225999999999999</v>
      </c>
      <c r="X72" s="235"/>
    </row>
    <row r="73" spans="1:25" outlineLevel="2" x14ac:dyDescent="0.3">
      <c r="A73" s="136" t="s">
        <v>365</v>
      </c>
      <c r="B73" s="147"/>
      <c r="C73" s="71" t="s">
        <v>230</v>
      </c>
      <c r="D73" s="71" t="s">
        <v>230</v>
      </c>
      <c r="E73" s="71" t="s">
        <v>230</v>
      </c>
      <c r="F73" s="77" t="str">
        <f>'Cash Flow - FY'!F73</f>
        <v>n.a.</v>
      </c>
      <c r="G73" s="71" t="s">
        <v>230</v>
      </c>
      <c r="H73" s="71" t="s">
        <v>230</v>
      </c>
      <c r="I73" s="71" t="s">
        <v>230</v>
      </c>
      <c r="J73" s="77" t="str">
        <f>'Cash Flow - FY'!G73</f>
        <v>n.a.</v>
      </c>
      <c r="K73" s="71" t="s">
        <v>230</v>
      </c>
      <c r="L73" s="71" t="s">
        <v>230</v>
      </c>
      <c r="M73" s="71" t="s">
        <v>230</v>
      </c>
      <c r="N73" s="77" t="str">
        <f>'Cash Flow - FY'!H73</f>
        <v>n.a.</v>
      </c>
      <c r="O73" s="71" t="s">
        <v>230</v>
      </c>
      <c r="P73" s="71" t="s">
        <v>230</v>
      </c>
      <c r="Q73" s="71" t="s">
        <v>230</v>
      </c>
      <c r="R73" s="77">
        <f>'Cash Flow - FY'!I73</f>
        <v>-43.029000000000003</v>
      </c>
      <c r="S73" s="71" t="s">
        <v>230</v>
      </c>
      <c r="T73" s="71" t="s">
        <v>230</v>
      </c>
      <c r="U73" s="71" t="s">
        <v>230</v>
      </c>
      <c r="V73" s="77">
        <f>'Cash Flow - FY'!J73</f>
        <v>-37.173000000000002</v>
      </c>
      <c r="X73" s="235"/>
    </row>
    <row r="74" spans="1:25" outlineLevel="2" x14ac:dyDescent="0.3">
      <c r="A74" s="136" t="s">
        <v>366</v>
      </c>
      <c r="B74" s="147"/>
      <c r="C74" s="71" t="s">
        <v>230</v>
      </c>
      <c r="D74" s="71" t="s">
        <v>230</v>
      </c>
      <c r="E74" s="71" t="s">
        <v>230</v>
      </c>
      <c r="F74" s="77" t="str">
        <f>'Cash Flow - FY'!F74</f>
        <v>n.a.</v>
      </c>
      <c r="G74" s="71" t="s">
        <v>230</v>
      </c>
      <c r="H74" s="71" t="s">
        <v>230</v>
      </c>
      <c r="I74" s="71" t="s">
        <v>230</v>
      </c>
      <c r="J74" s="77" t="str">
        <f>'Cash Flow - FY'!G74</f>
        <v>n.a.</v>
      </c>
      <c r="K74" s="71" t="s">
        <v>230</v>
      </c>
      <c r="L74" s="71" t="s">
        <v>230</v>
      </c>
      <c r="M74" s="71" t="s">
        <v>230</v>
      </c>
      <c r="N74" s="77" t="str">
        <f>'Cash Flow - FY'!H74</f>
        <v>n.a.</v>
      </c>
      <c r="O74" s="71" t="s">
        <v>230</v>
      </c>
      <c r="P74" s="71" t="s">
        <v>230</v>
      </c>
      <c r="Q74" s="71" t="s">
        <v>230</v>
      </c>
      <c r="R74" s="77">
        <f>'Cash Flow - FY'!I74</f>
        <v>-23.225999999999999</v>
      </c>
      <c r="S74" s="71" t="s">
        <v>230</v>
      </c>
      <c r="T74" s="71" t="s">
        <v>230</v>
      </c>
      <c r="U74" s="71" t="s">
        <v>230</v>
      </c>
      <c r="V74" s="77">
        <f>'Cash Flow - FY'!J74</f>
        <v>-58.052999999999997</v>
      </c>
      <c r="X74" s="235"/>
    </row>
    <row r="75" spans="1:25" s="25" customFormat="1" ht="13" x14ac:dyDescent="0.3">
      <c r="A75" s="130" t="s">
        <v>112</v>
      </c>
      <c r="B75" s="158"/>
      <c r="C75" s="80">
        <f t="shared" ref="C75:R75" si="43">IFERROR(C63+C64+C65+C66+C67+C68+C69+C72,"n.a.")</f>
        <v>-447.5019999999999</v>
      </c>
      <c r="D75" s="80">
        <f t="shared" si="43"/>
        <v>-189.46099999999996</v>
      </c>
      <c r="E75" s="80">
        <f t="shared" si="43"/>
        <v>42.503999999999905</v>
      </c>
      <c r="F75" s="80">
        <f t="shared" si="43"/>
        <v>1086.1760000000002</v>
      </c>
      <c r="G75" s="80">
        <f t="shared" si="43"/>
        <v>-549.92400000000009</v>
      </c>
      <c r="H75" s="80">
        <f t="shared" si="43"/>
        <v>-264.13400000000001</v>
      </c>
      <c r="I75" s="80">
        <f t="shared" si="43"/>
        <v>-111.49300000000011</v>
      </c>
      <c r="J75" s="80">
        <f t="shared" si="43"/>
        <v>1137.65091357235</v>
      </c>
      <c r="K75" s="80">
        <f t="shared" si="43"/>
        <v>-686.34899999999993</v>
      </c>
      <c r="L75" s="80">
        <f t="shared" si="43"/>
        <v>-483.49799999999999</v>
      </c>
      <c r="M75" s="80">
        <f t="shared" si="43"/>
        <v>-457.99400000000009</v>
      </c>
      <c r="N75" s="80">
        <f t="shared" si="43"/>
        <v>658.36099999999976</v>
      </c>
      <c r="O75" s="80">
        <f t="shared" si="43"/>
        <v>-535.65</v>
      </c>
      <c r="P75" s="80">
        <f t="shared" si="43"/>
        <v>-263.36200000000008</v>
      </c>
      <c r="Q75" s="80">
        <f t="shared" si="43"/>
        <v>-91.61900000000017</v>
      </c>
      <c r="R75" s="80">
        <f t="shared" si="43"/>
        <v>1022.7020000000003</v>
      </c>
      <c r="S75" s="80">
        <f t="shared" ref="S75:T75" si="44">IFERROR(S63+S64+S65+S66+S67+S68+S69+S72,"n.a.")</f>
        <v>-660.18100000000004</v>
      </c>
      <c r="T75" s="80">
        <f t="shared" si="44"/>
        <v>-545.78699999999992</v>
      </c>
      <c r="U75" s="80">
        <f t="shared" ref="U75:V75" si="45">IFERROR(U63+U64+U65+U66+U67+U68+U69+U72,"n.a.")</f>
        <v>-466.81800000000004</v>
      </c>
      <c r="V75" s="80">
        <f t="shared" si="45"/>
        <v>618.35199999999986</v>
      </c>
    </row>
    <row r="76" spans="1:25" x14ac:dyDescent="0.3">
      <c r="A76" s="143"/>
      <c r="B76" s="59"/>
      <c r="C76" s="60"/>
      <c r="D76" s="60"/>
      <c r="E76" s="60"/>
      <c r="F76" s="60"/>
      <c r="G76" s="60"/>
      <c r="H76" s="60"/>
      <c r="I76" s="60"/>
      <c r="J76" s="60"/>
      <c r="K76" s="60"/>
      <c r="L76" s="60"/>
      <c r="M76" s="60"/>
      <c r="N76" s="60"/>
      <c r="O76" s="60"/>
      <c r="P76" s="60"/>
      <c r="Q76" s="60"/>
      <c r="R76" s="60"/>
      <c r="S76" s="60"/>
      <c r="T76" s="60"/>
      <c r="U76" s="60"/>
      <c r="V76" s="60"/>
    </row>
    <row r="77" spans="1:25" outlineLevel="1" x14ac:dyDescent="0.3">
      <c r="A77" s="145" t="s">
        <v>329</v>
      </c>
      <c r="B77" s="146"/>
      <c r="C77" s="90">
        <v>-70.305000000000007</v>
      </c>
      <c r="D77" s="90">
        <v>-145.80799999999999</v>
      </c>
      <c r="E77" s="90">
        <v>-234.5</v>
      </c>
      <c r="F77" s="119">
        <f>'Cash Flow - FY'!F77</f>
        <v>-363.46600000000001</v>
      </c>
      <c r="G77" s="90">
        <v>-97.445999999999998</v>
      </c>
      <c r="H77" s="90">
        <v>-213.40199999999999</v>
      </c>
      <c r="I77" s="90">
        <v>-324.07077600000002</v>
      </c>
      <c r="J77" s="119">
        <f>'Cash Flow - FY'!G77</f>
        <v>-470.38299999999998</v>
      </c>
      <c r="K77" s="90">
        <v>-84.665999999999997</v>
      </c>
      <c r="L77" s="90">
        <v>-176.74700000000001</v>
      </c>
      <c r="M77" s="90">
        <v>-290.63200000000001</v>
      </c>
      <c r="N77" s="119">
        <f>'Cash Flow - FY'!H77</f>
        <v>-451.80099999999999</v>
      </c>
      <c r="O77" s="90">
        <v>-77.462999999999994</v>
      </c>
      <c r="P77" s="90">
        <v>-164.34</v>
      </c>
      <c r="Q77" s="90">
        <v>-235.20099999999999</v>
      </c>
      <c r="R77" s="119">
        <f>'Cash Flow - FY'!I77</f>
        <v>-369.69900000000001</v>
      </c>
      <c r="S77" s="90">
        <v>-53.591999999999999</v>
      </c>
      <c r="T77" s="90">
        <v>-74.198999999999998</v>
      </c>
      <c r="U77" s="90">
        <v>-95.885000000000005</v>
      </c>
      <c r="V77" s="119">
        <f>'Cash Flow - FY'!J77</f>
        <v>-124.508</v>
      </c>
      <c r="X77" s="225"/>
      <c r="Y77" s="227"/>
    </row>
    <row r="78" spans="1:25" outlineLevel="1" x14ac:dyDescent="0.3">
      <c r="A78" s="145" t="s">
        <v>330</v>
      </c>
      <c r="B78" s="146"/>
      <c r="C78" s="90">
        <v>0</v>
      </c>
      <c r="D78" s="90">
        <v>0</v>
      </c>
      <c r="E78" s="90">
        <v>0</v>
      </c>
      <c r="F78" s="119">
        <f>'Cash Flow - FY'!F78</f>
        <v>0</v>
      </c>
      <c r="G78" s="90">
        <v>0</v>
      </c>
      <c r="H78" s="90">
        <v>0</v>
      </c>
      <c r="I78" s="90">
        <v>0</v>
      </c>
      <c r="J78" s="119">
        <f>'Cash Flow - FY'!G78</f>
        <v>0</v>
      </c>
      <c r="K78" s="90">
        <v>0</v>
      </c>
      <c r="L78" s="90">
        <v>-51.430999999999997</v>
      </c>
      <c r="M78" s="90">
        <v>-50.985999999999997</v>
      </c>
      <c r="N78" s="119">
        <f>'Cash Flow - FY'!H78</f>
        <v>-6.2910000000000004</v>
      </c>
      <c r="O78" s="90">
        <v>-20.52</v>
      </c>
      <c r="P78" s="90">
        <v>-33.825000000000003</v>
      </c>
      <c r="Q78" s="90">
        <v>-52.078000000000003</v>
      </c>
      <c r="R78" s="119">
        <f>'Cash Flow - FY'!I78</f>
        <v>3.7639999999999998</v>
      </c>
      <c r="S78" s="90">
        <v>-46.067999999999998</v>
      </c>
      <c r="T78" s="90">
        <v>-57.642000000000003</v>
      </c>
      <c r="U78" s="90">
        <v>-70.087999999999994</v>
      </c>
      <c r="V78" s="119">
        <f>'Cash Flow - FY'!J78</f>
        <v>-53.371000000000002</v>
      </c>
      <c r="X78" s="225"/>
    </row>
    <row r="79" spans="1:25" outlineLevel="1" x14ac:dyDescent="0.3">
      <c r="A79" s="138" t="s">
        <v>367</v>
      </c>
      <c r="B79" s="147"/>
      <c r="C79" s="71">
        <v>1.083</v>
      </c>
      <c r="D79" s="71">
        <v>2.016</v>
      </c>
      <c r="E79" s="71">
        <v>2.016</v>
      </c>
      <c r="F79" s="77">
        <f>'Cash Flow - FY'!F79</f>
        <v>91.626000000000005</v>
      </c>
      <c r="G79" s="71">
        <v>2.4790000000000001</v>
      </c>
      <c r="H79" s="71">
        <v>3.9319999999999999</v>
      </c>
      <c r="I79" s="71">
        <v>5.0986470000000006</v>
      </c>
      <c r="J79" s="77">
        <f>'Cash Flow - FY'!G79</f>
        <v>73.504999999999995</v>
      </c>
      <c r="K79" s="71">
        <v>4.18</v>
      </c>
      <c r="L79" s="71">
        <v>2.9020000000000001</v>
      </c>
      <c r="M79" s="71">
        <v>10.195</v>
      </c>
      <c r="N79" s="77">
        <f>'Cash Flow - FY'!H79</f>
        <v>16.222999999999999</v>
      </c>
      <c r="O79" s="71">
        <v>1.9390000000000001</v>
      </c>
      <c r="P79" s="90">
        <v>2.7770000000000001</v>
      </c>
      <c r="Q79" s="90">
        <v>3.9049999999999998</v>
      </c>
      <c r="R79" s="83">
        <f t="shared" ref="R79" si="46">IFERROR(R80+R81,"n.a.")</f>
        <v>7.6609999999999996</v>
      </c>
      <c r="S79" s="71">
        <v>0.23899999999999999</v>
      </c>
      <c r="T79" s="90">
        <v>1.542</v>
      </c>
      <c r="U79" s="90">
        <v>3.1160000000000001</v>
      </c>
      <c r="V79" s="83">
        <f t="shared" ref="V79" si="47">IFERROR(V80+V81,"n.a.")</f>
        <v>5.6840000000000002</v>
      </c>
      <c r="X79" s="225"/>
    </row>
    <row r="80" spans="1:25" outlineLevel="2" x14ac:dyDescent="0.3">
      <c r="A80" s="136" t="s">
        <v>368</v>
      </c>
      <c r="B80" s="147"/>
      <c r="C80" s="71" t="s">
        <v>230</v>
      </c>
      <c r="D80" s="71" t="s">
        <v>230</v>
      </c>
      <c r="E80" s="71" t="s">
        <v>230</v>
      </c>
      <c r="F80" s="77" t="str">
        <f>'Cash Flow - FY'!C80</f>
        <v>n.a.</v>
      </c>
      <c r="G80" s="71" t="s">
        <v>230</v>
      </c>
      <c r="H80" s="71" t="s">
        <v>230</v>
      </c>
      <c r="I80" s="71" t="s">
        <v>230</v>
      </c>
      <c r="J80" s="77" t="str">
        <f>'Cash Flow - FY'!G80</f>
        <v>n.a.</v>
      </c>
      <c r="K80" s="71" t="s">
        <v>230</v>
      </c>
      <c r="L80" s="71" t="s">
        <v>230</v>
      </c>
      <c r="M80" s="71" t="s">
        <v>230</v>
      </c>
      <c r="N80" s="77" t="str">
        <f>'Cash Flow - FY'!H80</f>
        <v>n.a.</v>
      </c>
      <c r="O80" s="71" t="s">
        <v>230</v>
      </c>
      <c r="P80" s="71" t="s">
        <v>230</v>
      </c>
      <c r="Q80" s="71" t="s">
        <v>230</v>
      </c>
      <c r="R80" s="77">
        <f>'Cash Flow - FY'!I80</f>
        <v>7.6459999999999999</v>
      </c>
      <c r="S80" s="71" t="s">
        <v>230</v>
      </c>
      <c r="T80" s="71" t="s">
        <v>230</v>
      </c>
      <c r="U80" s="71" t="s">
        <v>230</v>
      </c>
      <c r="V80" s="77">
        <f>'Cash Flow - FY'!J80</f>
        <v>5.4050000000000002</v>
      </c>
      <c r="X80" s="235"/>
    </row>
    <row r="81" spans="1:26" outlineLevel="2" x14ac:dyDescent="0.3">
      <c r="A81" s="136" t="s">
        <v>369</v>
      </c>
      <c r="B81" s="147"/>
      <c r="C81" s="71" t="s">
        <v>230</v>
      </c>
      <c r="D81" s="71" t="s">
        <v>230</v>
      </c>
      <c r="E81" s="71" t="s">
        <v>230</v>
      </c>
      <c r="F81" s="77" t="str">
        <f>'Cash Flow - FY'!C81</f>
        <v>n.a.</v>
      </c>
      <c r="G81" s="71" t="s">
        <v>230</v>
      </c>
      <c r="H81" s="71" t="s">
        <v>230</v>
      </c>
      <c r="I81" s="71" t="s">
        <v>230</v>
      </c>
      <c r="J81" s="77" t="str">
        <f>'Cash Flow - FY'!G81</f>
        <v>n.a.</v>
      </c>
      <c r="K81" s="71" t="s">
        <v>230</v>
      </c>
      <c r="L81" s="71" t="s">
        <v>230</v>
      </c>
      <c r="M81" s="71" t="s">
        <v>230</v>
      </c>
      <c r="N81" s="77" t="str">
        <f>'Cash Flow - FY'!H81</f>
        <v>n.a.</v>
      </c>
      <c r="O81" s="71" t="s">
        <v>230</v>
      </c>
      <c r="P81" s="71" t="s">
        <v>230</v>
      </c>
      <c r="Q81" s="71" t="s">
        <v>230</v>
      </c>
      <c r="R81" s="77">
        <f>'Cash Flow - FY'!I81</f>
        <v>1.4999999999999999E-2</v>
      </c>
      <c r="S81" s="71" t="s">
        <v>230</v>
      </c>
      <c r="T81" s="71" t="s">
        <v>230</v>
      </c>
      <c r="U81" s="71" t="s">
        <v>230</v>
      </c>
      <c r="V81" s="77">
        <f>'Cash Flow - FY'!J81</f>
        <v>0.27900000000000003</v>
      </c>
      <c r="X81" s="235"/>
    </row>
    <row r="82" spans="1:26" outlineLevel="1" x14ac:dyDescent="0.3">
      <c r="A82" s="138" t="s">
        <v>101</v>
      </c>
      <c r="B82" s="147"/>
      <c r="C82" s="71">
        <v>-0.67800000000000005</v>
      </c>
      <c r="D82" s="71">
        <v>-2.0070000000000001</v>
      </c>
      <c r="E82" s="71">
        <v>-3.9</v>
      </c>
      <c r="F82" s="77">
        <f>'Cash Flow - FY'!F82</f>
        <v>-8.7170000000000005</v>
      </c>
      <c r="G82" s="71">
        <v>-0.94199999999999995</v>
      </c>
      <c r="H82" s="71">
        <v>-2.2869999999999999</v>
      </c>
      <c r="I82" s="71">
        <v>-3.5357220000000003</v>
      </c>
      <c r="J82" s="77">
        <f>'Cash Flow - FY'!G82</f>
        <v>-18.969000000000001</v>
      </c>
      <c r="K82" s="71">
        <v>-0.58399999999999996</v>
      </c>
      <c r="L82" s="71">
        <v>-2.4969999999999999</v>
      </c>
      <c r="M82" s="71">
        <v>-6.0759999999999996</v>
      </c>
      <c r="N82" s="77">
        <f>'Cash Flow - FY'!H82</f>
        <v>-11.64</v>
      </c>
      <c r="O82" s="71">
        <v>-0.52100000000000002</v>
      </c>
      <c r="P82" s="90">
        <v>-3.379</v>
      </c>
      <c r="Q82" s="90">
        <v>-7.1360000000000001</v>
      </c>
      <c r="R82" s="77">
        <f>'Cash Flow - FY'!I82</f>
        <v>-20.812000000000001</v>
      </c>
      <c r="S82" s="71">
        <v>-2.976</v>
      </c>
      <c r="T82" s="90">
        <v>-7.21</v>
      </c>
      <c r="U82" s="90">
        <v>-10.212</v>
      </c>
      <c r="V82" s="77">
        <f>'Cash Flow - FY'!J82</f>
        <v>-15.526999999999999</v>
      </c>
      <c r="X82" s="224"/>
    </row>
    <row r="83" spans="1:26" outlineLevel="1" x14ac:dyDescent="0.3">
      <c r="A83" s="138" t="s">
        <v>314</v>
      </c>
      <c r="B83" s="147"/>
      <c r="C83" s="71">
        <v>0</v>
      </c>
      <c r="D83" s="71">
        <v>0</v>
      </c>
      <c r="E83" s="71">
        <v>0</v>
      </c>
      <c r="F83" s="77">
        <f>'Cash Flow - FY'!F83</f>
        <v>100.35299999999999</v>
      </c>
      <c r="G83" s="71">
        <v>0</v>
      </c>
      <c r="H83" s="71">
        <v>0</v>
      </c>
      <c r="I83" s="71">
        <v>0</v>
      </c>
      <c r="J83" s="77">
        <f>'Cash Flow - FY'!G83</f>
        <v>8.5559999999999992</v>
      </c>
      <c r="K83" s="71">
        <v>0</v>
      </c>
      <c r="L83" s="71">
        <v>0</v>
      </c>
      <c r="M83" s="71">
        <v>0</v>
      </c>
      <c r="N83" s="77">
        <f>'Cash Flow - FY'!H83</f>
        <v>2.6739999999999999</v>
      </c>
      <c r="O83" s="71">
        <v>0</v>
      </c>
      <c r="P83" s="90">
        <v>0</v>
      </c>
      <c r="Q83" s="90">
        <v>0</v>
      </c>
      <c r="R83" s="77">
        <f>'Cash Flow - FY'!I83</f>
        <v>0</v>
      </c>
      <c r="S83" s="71">
        <v>0</v>
      </c>
      <c r="T83" s="90">
        <v>0</v>
      </c>
      <c r="U83" s="90">
        <v>0</v>
      </c>
      <c r="V83" s="77">
        <f>'Cash Flow - FY'!J83</f>
        <v>0</v>
      </c>
    </row>
    <row r="84" spans="1:26" outlineLevel="1" x14ac:dyDescent="0.3">
      <c r="A84" s="138" t="s">
        <v>102</v>
      </c>
      <c r="B84" s="147"/>
      <c r="C84" s="71">
        <v>0</v>
      </c>
      <c r="D84" s="71">
        <v>0</v>
      </c>
      <c r="E84" s="71">
        <v>0</v>
      </c>
      <c r="F84" s="77">
        <f>'Cash Flow - FY'!F84</f>
        <v>0</v>
      </c>
      <c r="G84" s="71">
        <v>0</v>
      </c>
      <c r="H84" s="71">
        <v>0</v>
      </c>
      <c r="I84" s="71">
        <v>0</v>
      </c>
      <c r="J84" s="77">
        <f>'Cash Flow - FY'!G84</f>
        <v>0</v>
      </c>
      <c r="K84" s="71">
        <v>0</v>
      </c>
      <c r="L84" s="71">
        <v>0</v>
      </c>
      <c r="M84" s="71">
        <v>0</v>
      </c>
      <c r="N84" s="77">
        <f>'Cash Flow - FY'!H84</f>
        <v>0</v>
      </c>
      <c r="O84" s="71">
        <v>0</v>
      </c>
      <c r="P84" s="90">
        <v>0</v>
      </c>
      <c r="Q84" s="90">
        <v>0</v>
      </c>
      <c r="R84" s="77">
        <f>'Cash Flow - FY'!I84</f>
        <v>0</v>
      </c>
      <c r="S84" s="71">
        <v>0</v>
      </c>
      <c r="T84" s="90">
        <v>0</v>
      </c>
      <c r="U84" s="90">
        <v>0</v>
      </c>
      <c r="V84" s="77">
        <f>'Cash Flow - FY'!J84</f>
        <v>0</v>
      </c>
      <c r="X84" s="225"/>
      <c r="Z84" s="226"/>
    </row>
    <row r="85" spans="1:26" outlineLevel="1" x14ac:dyDescent="0.3">
      <c r="A85" s="138" t="s">
        <v>331</v>
      </c>
      <c r="B85" s="147"/>
      <c r="C85" s="71">
        <v>0</v>
      </c>
      <c r="D85" s="71">
        <v>0</v>
      </c>
      <c r="E85" s="71">
        <v>0</v>
      </c>
      <c r="F85" s="77">
        <f>'Cash Flow - FY'!F85</f>
        <v>0</v>
      </c>
      <c r="G85" s="71">
        <v>0</v>
      </c>
      <c r="H85" s="71">
        <v>0</v>
      </c>
      <c r="I85" s="71">
        <v>-15.461776984013937</v>
      </c>
      <c r="J85" s="77">
        <f>'Cash Flow - FY'!G85</f>
        <v>-15.638999999999999</v>
      </c>
      <c r="K85" s="71">
        <v>0</v>
      </c>
      <c r="L85" s="71">
        <v>0</v>
      </c>
      <c r="M85" s="71">
        <v>0</v>
      </c>
      <c r="N85" s="77">
        <f>'Cash Flow - FY'!H85</f>
        <v>0</v>
      </c>
      <c r="O85" s="71">
        <v>10.7</v>
      </c>
      <c r="P85" s="90">
        <v>10.7</v>
      </c>
      <c r="Q85" s="90">
        <v>10.7</v>
      </c>
      <c r="R85" s="77">
        <f>'Cash Flow - FY'!I85</f>
        <v>10.7</v>
      </c>
      <c r="S85" s="71">
        <v>6.9000000000000006E-2</v>
      </c>
      <c r="T85" s="90">
        <v>6.9000000000000006E-2</v>
      </c>
      <c r="U85" s="90">
        <v>6.9000000000000006E-2</v>
      </c>
      <c r="V85" s="77">
        <f>'Cash Flow - FY'!J85</f>
        <v>6.9000000000000006E-2</v>
      </c>
      <c r="X85" s="225"/>
    </row>
    <row r="86" spans="1:26" outlineLevel="1" x14ac:dyDescent="0.3">
      <c r="A86" s="138" t="s">
        <v>315</v>
      </c>
      <c r="B86" s="147"/>
      <c r="C86" s="71">
        <v>0</v>
      </c>
      <c r="D86" s="71">
        <v>0</v>
      </c>
      <c r="E86" s="71">
        <v>0</v>
      </c>
      <c r="F86" s="77">
        <f>'Cash Flow - FY'!F86</f>
        <v>0</v>
      </c>
      <c r="G86" s="71">
        <v>0</v>
      </c>
      <c r="H86" s="71">
        <v>0</v>
      </c>
      <c r="I86" s="71">
        <v>0</v>
      </c>
      <c r="J86" s="77">
        <f>'Cash Flow - FY'!G86</f>
        <v>0</v>
      </c>
      <c r="K86" s="71">
        <v>-18.492000000000001</v>
      </c>
      <c r="L86" s="71">
        <v>-18.492000000000001</v>
      </c>
      <c r="M86" s="71">
        <v>-18.492000000000001</v>
      </c>
      <c r="N86" s="77">
        <f>'Cash Flow - FY'!H86</f>
        <v>-49.722000000000001</v>
      </c>
      <c r="O86" s="71">
        <v>0</v>
      </c>
      <c r="P86" s="90">
        <v>0</v>
      </c>
      <c r="Q86" s="90">
        <v>0</v>
      </c>
      <c r="R86" s="77">
        <f>'Cash Flow - FY'!I86</f>
        <v>0</v>
      </c>
      <c r="S86" s="71">
        <v>0</v>
      </c>
      <c r="T86" s="90">
        <v>0</v>
      </c>
      <c r="U86" s="90">
        <v>0</v>
      </c>
      <c r="V86" s="77">
        <f>'Cash Flow - FY'!J86</f>
        <v>0</v>
      </c>
    </row>
    <row r="87" spans="1:26" outlineLevel="1" x14ac:dyDescent="0.3">
      <c r="A87" s="138" t="s">
        <v>103</v>
      </c>
      <c r="B87" s="147"/>
      <c r="C87" s="71">
        <v>0</v>
      </c>
      <c r="D87" s="71">
        <v>-4.0069999999999997</v>
      </c>
      <c r="E87" s="71">
        <v>-4.0069999999999997</v>
      </c>
      <c r="F87" s="77">
        <f>'Cash Flow - FY'!F87</f>
        <v>-4.6920000000000002</v>
      </c>
      <c r="G87" s="71">
        <v>0</v>
      </c>
      <c r="H87" s="71">
        <v>0</v>
      </c>
      <c r="I87" s="71">
        <v>0</v>
      </c>
      <c r="J87" s="77">
        <f>'Cash Flow - FY'!G87</f>
        <v>17.183</v>
      </c>
      <c r="K87" s="71">
        <v>0</v>
      </c>
      <c r="L87" s="71">
        <v>0</v>
      </c>
      <c r="M87" s="71">
        <v>0</v>
      </c>
      <c r="N87" s="77">
        <f>'Cash Flow - FY'!H87</f>
        <v>-65.221999999999994</v>
      </c>
      <c r="O87" s="71">
        <v>-8.9250000000000007</v>
      </c>
      <c r="P87" s="90">
        <v>-8.9250000000000007</v>
      </c>
      <c r="Q87" s="90">
        <v>-8.9250000000000007</v>
      </c>
      <c r="R87" s="77">
        <f>'Cash Flow - FY'!I87</f>
        <v>-8.9250000000000007</v>
      </c>
      <c r="S87" s="71">
        <v>0</v>
      </c>
      <c r="T87" s="90">
        <v>0</v>
      </c>
      <c r="U87" s="90">
        <v>0</v>
      </c>
      <c r="V87" s="77">
        <f>'Cash Flow - FY'!J87</f>
        <v>0</v>
      </c>
    </row>
    <row r="88" spans="1:26" outlineLevel="1" x14ac:dyDescent="0.3">
      <c r="A88" s="138" t="s">
        <v>316</v>
      </c>
      <c r="B88" s="147"/>
      <c r="C88" s="71">
        <v>-5.1559999999999997</v>
      </c>
      <c r="D88" s="71">
        <v>9.9160000000000004</v>
      </c>
      <c r="E88" s="71">
        <v>9.9179999999999993</v>
      </c>
      <c r="F88" s="77">
        <f>'Cash Flow - FY'!F88</f>
        <v>9.1449999999999996</v>
      </c>
      <c r="G88" s="71">
        <v>-1.6779999999999999</v>
      </c>
      <c r="H88" s="71">
        <v>-2.4590000000000001</v>
      </c>
      <c r="I88" s="71">
        <v>-2.4590000000000001</v>
      </c>
      <c r="J88" s="77">
        <f>'Cash Flow - FY'!G88</f>
        <v>-2.4649999999999999</v>
      </c>
      <c r="K88" s="71">
        <v>152.80799999999999</v>
      </c>
      <c r="L88" s="71">
        <v>152.80799999999999</v>
      </c>
      <c r="M88" s="71">
        <v>152.80799999999999</v>
      </c>
      <c r="N88" s="77">
        <f>'Cash Flow - FY'!H88</f>
        <v>152.80799999999999</v>
      </c>
      <c r="O88" s="71">
        <v>0</v>
      </c>
      <c r="P88" s="90">
        <v>0</v>
      </c>
      <c r="Q88" s="90">
        <v>0</v>
      </c>
      <c r="R88" s="77">
        <f>'Cash Flow - FY'!I88</f>
        <v>0</v>
      </c>
      <c r="S88" s="71">
        <v>0</v>
      </c>
      <c r="T88" s="90">
        <v>0</v>
      </c>
      <c r="U88" s="90">
        <v>0</v>
      </c>
      <c r="V88" s="77">
        <f>'Cash Flow - FY'!J88</f>
        <v>0</v>
      </c>
    </row>
    <row r="89" spans="1:26" outlineLevel="1" x14ac:dyDescent="0.3">
      <c r="A89" s="138" t="s">
        <v>104</v>
      </c>
      <c r="B89" s="147"/>
      <c r="C89" s="71">
        <v>0</v>
      </c>
      <c r="D89" s="71">
        <v>0</v>
      </c>
      <c r="E89" s="71">
        <v>0</v>
      </c>
      <c r="F89" s="77">
        <f>'Cash Flow - FY'!F89</f>
        <v>266.2</v>
      </c>
      <c r="G89" s="71">
        <v>0</v>
      </c>
      <c r="H89" s="71">
        <v>0</v>
      </c>
      <c r="I89" s="71">
        <v>0</v>
      </c>
      <c r="J89" s="77">
        <f>'Cash Flow - FY'!G89</f>
        <v>0</v>
      </c>
      <c r="K89" s="71">
        <v>0</v>
      </c>
      <c r="L89" s="71">
        <v>0</v>
      </c>
      <c r="M89" s="71">
        <v>0</v>
      </c>
      <c r="N89" s="77">
        <f>'Cash Flow - FY'!H89</f>
        <v>0</v>
      </c>
      <c r="O89" s="71">
        <v>0</v>
      </c>
      <c r="P89" s="90">
        <v>0</v>
      </c>
      <c r="Q89" s="90">
        <v>0</v>
      </c>
      <c r="R89" s="77">
        <f>'Cash Flow - FY'!I89</f>
        <v>0</v>
      </c>
      <c r="S89" s="71">
        <v>0</v>
      </c>
      <c r="T89" s="90">
        <v>0</v>
      </c>
      <c r="U89" s="90">
        <v>0</v>
      </c>
      <c r="V89" s="77">
        <f>'Cash Flow - FY'!J89</f>
        <v>0</v>
      </c>
    </row>
    <row r="90" spans="1:26" outlineLevel="1" x14ac:dyDescent="0.3">
      <c r="A90" s="138" t="s">
        <v>105</v>
      </c>
      <c r="B90" s="147"/>
      <c r="C90" s="71">
        <v>0</v>
      </c>
      <c r="D90" s="71">
        <v>0</v>
      </c>
      <c r="E90" s="71">
        <v>0</v>
      </c>
      <c r="F90" s="77">
        <f>'Cash Flow - FY'!F90</f>
        <v>70.748999999999995</v>
      </c>
      <c r="G90" s="71">
        <v>0</v>
      </c>
      <c r="H90" s="71">
        <v>0</v>
      </c>
      <c r="I90" s="71">
        <v>0</v>
      </c>
      <c r="J90" s="77">
        <f>'Cash Flow - FY'!G90</f>
        <v>0</v>
      </c>
      <c r="K90" s="71">
        <v>0</v>
      </c>
      <c r="L90" s="71">
        <v>0</v>
      </c>
      <c r="M90" s="71">
        <v>0</v>
      </c>
      <c r="N90" s="77">
        <f>'Cash Flow - FY'!H90</f>
        <v>0</v>
      </c>
      <c r="O90" s="71">
        <v>0</v>
      </c>
      <c r="P90" s="90">
        <v>0</v>
      </c>
      <c r="Q90" s="90">
        <v>0</v>
      </c>
      <c r="R90" s="77">
        <f>'Cash Flow - FY'!I90</f>
        <v>0</v>
      </c>
      <c r="S90" s="71">
        <v>0</v>
      </c>
      <c r="T90" s="90">
        <v>0</v>
      </c>
      <c r="U90" s="90">
        <v>0</v>
      </c>
      <c r="V90" s="77">
        <f>'Cash Flow - FY'!J90</f>
        <v>0</v>
      </c>
    </row>
    <row r="91" spans="1:26" outlineLevel="1" x14ac:dyDescent="0.3">
      <c r="A91" s="138" t="s">
        <v>269</v>
      </c>
      <c r="B91" s="147"/>
      <c r="C91" s="71">
        <v>0</v>
      </c>
      <c r="D91" s="71">
        <v>0</v>
      </c>
      <c r="E91" s="71">
        <v>0</v>
      </c>
      <c r="F91" s="77">
        <f>'Cash Flow - FY'!F91</f>
        <v>0</v>
      </c>
      <c r="G91" s="71">
        <v>0</v>
      </c>
      <c r="H91" s="71">
        <v>0</v>
      </c>
      <c r="I91" s="71">
        <v>0</v>
      </c>
      <c r="J91" s="77">
        <f>'Cash Flow - FY'!G91</f>
        <v>0</v>
      </c>
      <c r="K91" s="71">
        <v>0</v>
      </c>
      <c r="L91" s="71">
        <v>0</v>
      </c>
      <c r="M91" s="71">
        <v>0</v>
      </c>
      <c r="N91" s="77">
        <f>'Cash Flow - FY'!H91</f>
        <v>-1.393</v>
      </c>
      <c r="O91" s="71">
        <v>0</v>
      </c>
      <c r="P91" s="90">
        <v>0</v>
      </c>
      <c r="Q91" s="90">
        <v>0</v>
      </c>
      <c r="R91" s="77">
        <f>'Cash Flow - FY'!I91</f>
        <v>0</v>
      </c>
      <c r="S91" s="71">
        <v>0</v>
      </c>
      <c r="T91" s="90">
        <v>0</v>
      </c>
      <c r="U91" s="90">
        <v>0</v>
      </c>
      <c r="V91" s="77">
        <f>'Cash Flow - FY'!J91</f>
        <v>0</v>
      </c>
    </row>
    <row r="92" spans="1:26" outlineLevel="1" x14ac:dyDescent="0.3">
      <c r="A92" s="138" t="s">
        <v>106</v>
      </c>
      <c r="B92" s="147"/>
      <c r="C92" s="71">
        <v>0</v>
      </c>
      <c r="D92" s="71">
        <v>0</v>
      </c>
      <c r="E92" s="71">
        <v>0</v>
      </c>
      <c r="F92" s="77">
        <f>'Cash Flow - FY'!F92</f>
        <v>-53.395000000000003</v>
      </c>
      <c r="G92" s="71">
        <v>0</v>
      </c>
      <c r="H92" s="71">
        <v>0</v>
      </c>
      <c r="I92" s="71">
        <v>0</v>
      </c>
      <c r="J92" s="77">
        <f>'Cash Flow - FY'!G92</f>
        <v>0</v>
      </c>
      <c r="K92" s="71">
        <v>0</v>
      </c>
      <c r="L92" s="71">
        <v>0</v>
      </c>
      <c r="M92" s="71">
        <v>0</v>
      </c>
      <c r="N92" s="77">
        <f>'Cash Flow - FY'!H92</f>
        <v>0</v>
      </c>
      <c r="O92" s="71">
        <v>0</v>
      </c>
      <c r="P92" s="90">
        <v>0</v>
      </c>
      <c r="Q92" s="90">
        <v>0</v>
      </c>
      <c r="R92" s="77">
        <f>'Cash Flow - FY'!I92</f>
        <v>0</v>
      </c>
      <c r="S92" s="71">
        <v>0</v>
      </c>
      <c r="T92" s="90">
        <v>0</v>
      </c>
      <c r="U92" s="90">
        <v>0</v>
      </c>
      <c r="V92" s="77">
        <f>'Cash Flow - FY'!J92</f>
        <v>0</v>
      </c>
    </row>
    <row r="93" spans="1:26" outlineLevel="1" x14ac:dyDescent="0.3">
      <c r="A93" s="138" t="s">
        <v>358</v>
      </c>
      <c r="B93" s="147"/>
      <c r="C93" s="83">
        <f>IFERROR(C94+C95,"n.a.")</f>
        <v>0</v>
      </c>
      <c r="D93" s="83">
        <f t="shared" ref="D93:U93" si="48">IFERROR(D94+D95,"n.a.")</f>
        <v>1.7969999999999999</v>
      </c>
      <c r="E93" s="83">
        <f t="shared" si="48"/>
        <v>1.796</v>
      </c>
      <c r="F93" s="83">
        <f t="shared" si="48"/>
        <v>6.65</v>
      </c>
      <c r="G93" s="83">
        <f t="shared" si="48"/>
        <v>0</v>
      </c>
      <c r="H93" s="83">
        <f t="shared" si="48"/>
        <v>4.8000000000000001E-2</v>
      </c>
      <c r="I93" s="83">
        <f t="shared" si="48"/>
        <v>0.13700000000000001</v>
      </c>
      <c r="J93" s="83">
        <f t="shared" si="48"/>
        <v>9.8339999999999996</v>
      </c>
      <c r="K93" s="83">
        <f t="shared" si="48"/>
        <v>2.2240000000000002</v>
      </c>
      <c r="L93" s="83">
        <f t="shared" si="48"/>
        <v>3.0700000000000003</v>
      </c>
      <c r="M93" s="83">
        <f t="shared" si="48"/>
        <v>4.1459999999999999</v>
      </c>
      <c r="N93" s="83">
        <f t="shared" si="48"/>
        <v>4.1760000000000002</v>
      </c>
      <c r="O93" s="83">
        <f t="shared" si="48"/>
        <v>0</v>
      </c>
      <c r="P93" s="85">
        <f t="shared" si="48"/>
        <v>1.724</v>
      </c>
      <c r="Q93" s="85">
        <f t="shared" si="48"/>
        <v>13.986000000000001</v>
      </c>
      <c r="R93" s="83">
        <f t="shared" si="48"/>
        <v>14.956</v>
      </c>
      <c r="S93" s="83">
        <f t="shared" si="48"/>
        <v>0</v>
      </c>
      <c r="T93" s="85">
        <f t="shared" si="48"/>
        <v>6.5000000000000002E-2</v>
      </c>
      <c r="U93" s="85">
        <f t="shared" si="48"/>
        <v>6.5000000000000002E-2</v>
      </c>
      <c r="V93" s="77">
        <f>'Cash Flow - FY'!J93</f>
        <v>6.5000000000000002E-2</v>
      </c>
    </row>
    <row r="94" spans="1:26" outlineLevel="2" x14ac:dyDescent="0.3">
      <c r="A94" s="138" t="s">
        <v>317</v>
      </c>
      <c r="B94" s="147"/>
      <c r="C94" s="71">
        <v>0</v>
      </c>
      <c r="D94" s="71">
        <v>0</v>
      </c>
      <c r="E94" s="71">
        <v>0</v>
      </c>
      <c r="F94" s="77">
        <f>'Cash Flow - FY'!F94</f>
        <v>0</v>
      </c>
      <c r="G94" s="71">
        <v>0</v>
      </c>
      <c r="H94" s="71">
        <v>0</v>
      </c>
      <c r="I94" s="71">
        <v>0</v>
      </c>
      <c r="J94" s="77">
        <f>'Cash Flow - FY'!G94</f>
        <v>0</v>
      </c>
      <c r="K94" s="71">
        <v>0</v>
      </c>
      <c r="L94" s="71">
        <v>0</v>
      </c>
      <c r="M94" s="71">
        <v>0</v>
      </c>
      <c r="N94" s="77">
        <f>'Cash Flow - FY'!H94</f>
        <v>0</v>
      </c>
      <c r="O94" s="71">
        <v>0</v>
      </c>
      <c r="P94" s="90">
        <v>0</v>
      </c>
      <c r="Q94" s="90">
        <v>9.43</v>
      </c>
      <c r="R94" s="77">
        <f>'Cash Flow - FY'!I94</f>
        <v>9.43</v>
      </c>
      <c r="S94" s="71">
        <v>0</v>
      </c>
      <c r="T94" s="90">
        <v>0</v>
      </c>
      <c r="U94" s="90">
        <v>0</v>
      </c>
      <c r="V94" s="77" t="str">
        <f>'Cash Flow - FY'!J94</f>
        <v>n.a.</v>
      </c>
    </row>
    <row r="95" spans="1:26" outlineLevel="2" x14ac:dyDescent="0.3">
      <c r="A95" s="138" t="s">
        <v>237</v>
      </c>
      <c r="B95" s="147"/>
      <c r="C95" s="71">
        <v>0</v>
      </c>
      <c r="D95" s="71">
        <v>1.7969999999999999</v>
      </c>
      <c r="E95" s="71">
        <v>1.796</v>
      </c>
      <c r="F95" s="77">
        <f>'Cash Flow - FY'!F95</f>
        <v>6.65</v>
      </c>
      <c r="G95" s="71">
        <v>0</v>
      </c>
      <c r="H95" s="71">
        <v>4.8000000000000001E-2</v>
      </c>
      <c r="I95" s="71">
        <v>0.13700000000000001</v>
      </c>
      <c r="J95" s="77">
        <f>'Cash Flow - FY'!G95</f>
        <v>9.8339999999999996</v>
      </c>
      <c r="K95" s="71">
        <v>2.2240000000000002</v>
      </c>
      <c r="L95" s="71">
        <f>0.596+2.474</f>
        <v>3.0700000000000003</v>
      </c>
      <c r="M95" s="71">
        <f>2.474+1.672</f>
        <v>4.1459999999999999</v>
      </c>
      <c r="N95" s="77">
        <f>'Cash Flow - FY'!H95</f>
        <v>4.1760000000000002</v>
      </c>
      <c r="O95" s="71">
        <v>0</v>
      </c>
      <c r="P95" s="90">
        <v>1.724</v>
      </c>
      <c r="Q95" s="90">
        <v>4.556</v>
      </c>
      <c r="R95" s="77">
        <f>'Cash Flow - FY'!I95</f>
        <v>5.5259999999999998</v>
      </c>
      <c r="S95" s="71">
        <v>0</v>
      </c>
      <c r="T95" s="90">
        <v>6.5000000000000002E-2</v>
      </c>
      <c r="U95" s="90">
        <v>6.5000000000000002E-2</v>
      </c>
      <c r="V95" s="77" t="str">
        <f>'Cash Flow - FY'!J95</f>
        <v>n.a.</v>
      </c>
    </row>
    <row r="96" spans="1:26" outlineLevel="1" x14ac:dyDescent="0.3">
      <c r="A96" s="138" t="s">
        <v>362</v>
      </c>
      <c r="B96" s="147"/>
      <c r="C96" s="71" t="s">
        <v>230</v>
      </c>
      <c r="D96" s="71" t="s">
        <v>230</v>
      </c>
      <c r="E96" s="71" t="s">
        <v>230</v>
      </c>
      <c r="F96" s="77" t="str">
        <f>'Cash Flow - FY'!F96</f>
        <v>n.a.</v>
      </c>
      <c r="G96" s="71" t="s">
        <v>230</v>
      </c>
      <c r="H96" s="71" t="s">
        <v>230</v>
      </c>
      <c r="I96" s="71" t="s">
        <v>230</v>
      </c>
      <c r="J96" s="77" t="str">
        <f>'Cash Flow - FY'!G96</f>
        <v>n.a.</v>
      </c>
      <c r="K96" s="71" t="s">
        <v>230</v>
      </c>
      <c r="L96" s="71" t="s">
        <v>230</v>
      </c>
      <c r="M96" s="71" t="s">
        <v>230</v>
      </c>
      <c r="N96" s="77" t="str">
        <f>'Cash Flow - FY'!H96</f>
        <v>n.a.</v>
      </c>
      <c r="O96" s="71" t="s">
        <v>230</v>
      </c>
      <c r="P96" s="245" t="s">
        <v>230</v>
      </c>
      <c r="Q96" s="245" t="s">
        <v>230</v>
      </c>
      <c r="R96" s="77">
        <f>'Cash Flow - FY'!I96</f>
        <v>-13.42</v>
      </c>
      <c r="S96" s="71" t="s">
        <v>230</v>
      </c>
      <c r="T96" s="245" t="s">
        <v>230</v>
      </c>
      <c r="U96" s="245" t="s">
        <v>230</v>
      </c>
      <c r="V96" s="77">
        <f>'Cash Flow - FY'!J96</f>
        <v>-64.093000000000004</v>
      </c>
    </row>
    <row r="97" spans="1:22" s="25" customFormat="1" ht="13" x14ac:dyDescent="0.3">
      <c r="A97" s="130" t="s">
        <v>113</v>
      </c>
      <c r="B97" s="158"/>
      <c r="C97" s="80">
        <f>IFERROR(C77+C78+C79+C82+C83+C84+C85+C86+C87+C88+C93+C89+C90+C91+C92,"n.a.")</f>
        <v>-75.056000000000012</v>
      </c>
      <c r="D97" s="80">
        <f t="shared" ref="D97:Q97" si="49">IFERROR(D77+D78+D79+D82+D83+D84+D85+D86+D87+D88+D93+D89+D90+D91+D92,"n.a.")</f>
        <v>-138.09300000000002</v>
      </c>
      <c r="E97" s="80">
        <f t="shared" si="49"/>
        <v>-228.67700000000002</v>
      </c>
      <c r="F97" s="80">
        <f t="shared" si="49"/>
        <v>114.45299999999997</v>
      </c>
      <c r="G97" s="80">
        <f t="shared" si="49"/>
        <v>-97.586999999999989</v>
      </c>
      <c r="H97" s="80">
        <f t="shared" si="49"/>
        <v>-214.16800000000001</v>
      </c>
      <c r="I97" s="80">
        <f t="shared" si="49"/>
        <v>-340.29162798401399</v>
      </c>
      <c r="J97" s="80">
        <f>IFERROR(J77+J78+J79+J82+J83+J84+J85+J86+J87+J88+J93+J89+J90+J91+J92,"n.a.")</f>
        <v>-398.37799999999999</v>
      </c>
      <c r="K97" s="80">
        <f t="shared" si="49"/>
        <v>55.47</v>
      </c>
      <c r="L97" s="80">
        <f t="shared" si="49"/>
        <v>-90.387000000000029</v>
      </c>
      <c r="M97" s="80">
        <f t="shared" si="49"/>
        <v>-199.03700000000006</v>
      </c>
      <c r="N97" s="80">
        <f t="shared" si="49"/>
        <v>-410.18799999999999</v>
      </c>
      <c r="O97" s="80">
        <f t="shared" si="49"/>
        <v>-94.789999999999978</v>
      </c>
      <c r="P97" s="80">
        <f t="shared" si="49"/>
        <v>-195.26800000000006</v>
      </c>
      <c r="Q97" s="80">
        <f t="shared" si="49"/>
        <v>-274.74900000000008</v>
      </c>
      <c r="R97" s="80">
        <f>IFERROR(R77+R78+R79+R82+R83+R84+R85+R86+R87+R88+R93+R89+R90+R91+R92+R96,"n.a.")</f>
        <v>-375.77500000000003</v>
      </c>
      <c r="S97" s="80">
        <f t="shared" ref="S97:U97" si="50">IFERROR(S77+S78+S79+S82+S83+S84+S85+S86+S87+S88+S93+S89+S90+S91+S92,"n.a.")</f>
        <v>-102.32799999999999</v>
      </c>
      <c r="T97" s="80">
        <f t="shared" si="50"/>
        <v>-137.37500000000003</v>
      </c>
      <c r="U97" s="80">
        <f t="shared" si="50"/>
        <v>-172.935</v>
      </c>
      <c r="V97" s="80">
        <f>IFERROR(V77+V78+V79+V82+V83+V84+V85+V86+V87+V88+V93+V89+V90+V91+V92+V96,"n.a.")</f>
        <v>-251.68099999999998</v>
      </c>
    </row>
    <row r="98" spans="1:22" x14ac:dyDescent="0.3">
      <c r="A98" s="143"/>
      <c r="B98" s="59"/>
      <c r="C98" s="60"/>
      <c r="D98" s="60"/>
      <c r="E98" s="60"/>
      <c r="F98" s="60"/>
      <c r="G98" s="60"/>
      <c r="H98" s="60"/>
      <c r="I98" s="60"/>
      <c r="J98" s="60"/>
      <c r="K98" s="60"/>
      <c r="L98" s="60"/>
      <c r="M98" s="60"/>
      <c r="N98" s="60"/>
      <c r="O98" s="60"/>
      <c r="P98" s="60"/>
      <c r="Q98" s="60"/>
      <c r="R98" s="60"/>
      <c r="S98" s="60"/>
      <c r="T98" s="60"/>
      <c r="U98" s="60"/>
      <c r="V98" s="60"/>
    </row>
    <row r="99" spans="1:22" outlineLevel="1" x14ac:dyDescent="0.3">
      <c r="A99" s="145" t="s">
        <v>356</v>
      </c>
      <c r="B99" s="146"/>
      <c r="C99" s="245" t="s">
        <v>230</v>
      </c>
      <c r="D99" s="245" t="s">
        <v>230</v>
      </c>
      <c r="E99" s="245" t="s">
        <v>230</v>
      </c>
      <c r="F99" s="246" t="str">
        <f>'Cash Flow - FY'!F99</f>
        <v>n.a.</v>
      </c>
      <c r="G99" s="245" t="s">
        <v>230</v>
      </c>
      <c r="H99" s="245" t="s">
        <v>230</v>
      </c>
      <c r="I99" s="245" t="s">
        <v>230</v>
      </c>
      <c r="J99" s="246" t="str">
        <f>'Cash Flow - FY'!G99</f>
        <v>n.a.</v>
      </c>
      <c r="K99" s="245" t="s">
        <v>230</v>
      </c>
      <c r="L99" s="245" t="s">
        <v>230</v>
      </c>
      <c r="M99" s="245" t="s">
        <v>230</v>
      </c>
      <c r="N99" s="246" t="str">
        <f>'Cash Flow - FY'!H99</f>
        <v>n.a.</v>
      </c>
      <c r="O99" s="245" t="s">
        <v>230</v>
      </c>
      <c r="P99" s="245" t="s">
        <v>230</v>
      </c>
      <c r="Q99" s="245" t="s">
        <v>230</v>
      </c>
      <c r="R99" s="246">
        <f>'Cash Flow - FY'!I99</f>
        <v>1706.4570000000001</v>
      </c>
      <c r="S99" s="245" t="s">
        <v>230</v>
      </c>
      <c r="T99" s="245" t="s">
        <v>230</v>
      </c>
      <c r="U99" s="245" t="s">
        <v>230</v>
      </c>
      <c r="V99" s="246">
        <f>'Cash Flow - FY'!J99</f>
        <v>2577.1819999999998</v>
      </c>
    </row>
    <row r="100" spans="1:22" outlineLevel="1" x14ac:dyDescent="0.3">
      <c r="A100" s="145" t="s">
        <v>357</v>
      </c>
      <c r="B100" s="146"/>
      <c r="C100" s="245" t="s">
        <v>230</v>
      </c>
      <c r="D100" s="245" t="s">
        <v>230</v>
      </c>
      <c r="E100" s="245" t="s">
        <v>230</v>
      </c>
      <c r="F100" s="246" t="str">
        <f>'Cash Flow - FY'!F100</f>
        <v>n.a.</v>
      </c>
      <c r="G100" s="245" t="s">
        <v>230</v>
      </c>
      <c r="H100" s="245" t="s">
        <v>230</v>
      </c>
      <c r="I100" s="245" t="s">
        <v>230</v>
      </c>
      <c r="J100" s="246" t="str">
        <f>'Cash Flow - FY'!G100</f>
        <v>n.a.</v>
      </c>
      <c r="K100" s="245" t="s">
        <v>230</v>
      </c>
      <c r="L100" s="245" t="s">
        <v>230</v>
      </c>
      <c r="M100" s="245" t="s">
        <v>230</v>
      </c>
      <c r="N100" s="246" t="str">
        <f>'Cash Flow - FY'!H100</f>
        <v>n.a.</v>
      </c>
      <c r="O100" s="245" t="s">
        <v>230</v>
      </c>
      <c r="P100" s="245" t="s">
        <v>230</v>
      </c>
      <c r="Q100" s="245" t="s">
        <v>230</v>
      </c>
      <c r="R100" s="246">
        <f>'Cash Flow - FY'!I100</f>
        <v>-1623.3409999999999</v>
      </c>
      <c r="S100" s="245" t="s">
        <v>230</v>
      </c>
      <c r="T100" s="245" t="s">
        <v>230</v>
      </c>
      <c r="U100" s="245" t="s">
        <v>230</v>
      </c>
      <c r="V100" s="246">
        <f>'Cash Flow - FY'!J100</f>
        <v>-1806.69</v>
      </c>
    </row>
    <row r="101" spans="1:22" outlineLevel="1" x14ac:dyDescent="0.3">
      <c r="A101" s="145" t="s">
        <v>107</v>
      </c>
      <c r="B101" s="146"/>
      <c r="C101" s="90">
        <v>0</v>
      </c>
      <c r="D101" s="90">
        <v>0</v>
      </c>
      <c r="E101" s="90">
        <v>0</v>
      </c>
      <c r="F101" s="119">
        <f>'Cash Flow - FY'!F101</f>
        <v>0</v>
      </c>
      <c r="G101" s="90">
        <v>0</v>
      </c>
      <c r="H101" s="90">
        <v>1189.375</v>
      </c>
      <c r="I101" s="90">
        <v>1189.375</v>
      </c>
      <c r="J101" s="119">
        <f>'Cash Flow - FY'!G101</f>
        <v>1189.375</v>
      </c>
      <c r="K101" s="90">
        <v>0</v>
      </c>
      <c r="L101" s="90">
        <v>4.5</v>
      </c>
      <c r="M101" s="90">
        <v>4.5</v>
      </c>
      <c r="N101" s="119">
        <f>'Cash Flow - FY'!H101</f>
        <v>0</v>
      </c>
      <c r="O101" s="90">
        <v>0</v>
      </c>
      <c r="P101" s="90">
        <v>0</v>
      </c>
      <c r="Q101" s="90">
        <v>0</v>
      </c>
      <c r="R101" s="119">
        <f>'Cash Flow - FY'!I101</f>
        <v>0</v>
      </c>
      <c r="S101" s="90">
        <v>0</v>
      </c>
      <c r="T101" s="90">
        <v>0</v>
      </c>
      <c r="U101" s="90">
        <v>0</v>
      </c>
      <c r="V101" s="119">
        <f>'Cash Flow - FY'!J101</f>
        <v>0</v>
      </c>
    </row>
    <row r="102" spans="1:22" outlineLevel="1" x14ac:dyDescent="0.3">
      <c r="A102" s="138" t="s">
        <v>108</v>
      </c>
      <c r="B102" s="147"/>
      <c r="C102" s="71">
        <v>0</v>
      </c>
      <c r="D102" s="71">
        <v>0</v>
      </c>
      <c r="E102" s="71">
        <v>0</v>
      </c>
      <c r="F102" s="77">
        <f>'Cash Flow - FY'!F102</f>
        <v>0</v>
      </c>
      <c r="G102" s="71">
        <v>0</v>
      </c>
      <c r="H102" s="71">
        <v>251</v>
      </c>
      <c r="I102" s="71">
        <v>0</v>
      </c>
      <c r="J102" s="77">
        <f>'Cash Flow - FY'!G102</f>
        <v>0</v>
      </c>
      <c r="K102" s="71">
        <v>0</v>
      </c>
      <c r="L102" s="71">
        <v>0</v>
      </c>
      <c r="M102" s="71">
        <v>0</v>
      </c>
      <c r="N102" s="77">
        <f>'Cash Flow - FY'!H102</f>
        <v>0</v>
      </c>
      <c r="O102" s="71">
        <v>0</v>
      </c>
      <c r="P102" s="90">
        <v>0</v>
      </c>
      <c r="Q102" s="90">
        <v>0</v>
      </c>
      <c r="R102" s="77">
        <f>'Cash Flow - FY'!I102</f>
        <v>0</v>
      </c>
      <c r="S102" s="71">
        <v>0</v>
      </c>
      <c r="T102" s="90">
        <v>0</v>
      </c>
      <c r="U102" s="90">
        <v>0</v>
      </c>
      <c r="V102" s="77">
        <f>'Cash Flow - FY'!J102</f>
        <v>0</v>
      </c>
    </row>
    <row r="103" spans="1:22" outlineLevel="1" x14ac:dyDescent="0.3">
      <c r="A103" s="138" t="s">
        <v>109</v>
      </c>
      <c r="B103" s="147"/>
      <c r="C103" s="71">
        <v>179.79</v>
      </c>
      <c r="D103" s="71">
        <v>-64.781999999999996</v>
      </c>
      <c r="E103" s="71">
        <v>-22.821312000000006</v>
      </c>
      <c r="F103" s="77">
        <f>'Cash Flow - FY'!F103</f>
        <v>-345.96600000000001</v>
      </c>
      <c r="G103" s="71">
        <v>-459.51799999999997</v>
      </c>
      <c r="H103" s="71">
        <v>-1686.787</v>
      </c>
      <c r="I103" s="71">
        <v>-1695.2829999999999</v>
      </c>
      <c r="J103" s="77">
        <f>'Cash Flow - FY'!G103</f>
        <v>-2060.3040000000001</v>
      </c>
      <c r="K103" s="71">
        <v>137.62799999999999</v>
      </c>
      <c r="L103" s="71">
        <v>283.18200000000002</v>
      </c>
      <c r="M103" s="71">
        <v>393.36599999999999</v>
      </c>
      <c r="N103" s="77">
        <f>'Cash Flow - FY'!H103</f>
        <v>168.952</v>
      </c>
      <c r="O103" s="71">
        <v>328.166</v>
      </c>
      <c r="P103" s="90">
        <v>175.77600000000001</v>
      </c>
      <c r="Q103" s="90">
        <v>253.476</v>
      </c>
      <c r="R103" s="77">
        <f>'Cash Flow - FY'!I103</f>
        <v>0</v>
      </c>
      <c r="S103" s="71">
        <v>217.226</v>
      </c>
      <c r="T103" s="90">
        <v>888.971</v>
      </c>
      <c r="U103" s="90">
        <v>641.13199999999995</v>
      </c>
      <c r="V103" s="77">
        <f>'Cash Flow - FY'!J103</f>
        <v>0</v>
      </c>
    </row>
    <row r="104" spans="1:22" outlineLevel="1" x14ac:dyDescent="0.3">
      <c r="A104" s="138" t="s">
        <v>262</v>
      </c>
      <c r="B104" s="147"/>
      <c r="C104" s="71">
        <v>94.91</v>
      </c>
      <c r="D104" s="71">
        <v>116.48399999999999</v>
      </c>
      <c r="E104" s="71">
        <v>-12.978999999999999</v>
      </c>
      <c r="F104" s="77">
        <f>'Cash Flow - FY'!F104</f>
        <v>-44.332000000000001</v>
      </c>
      <c r="G104" s="71">
        <v>219.85499999999999</v>
      </c>
      <c r="H104" s="71">
        <v>0.96399999999999997</v>
      </c>
      <c r="I104" s="71">
        <v>223.84399999999999</v>
      </c>
      <c r="J104" s="77">
        <f>'Cash Flow - FY'!G104</f>
        <v>218.03700000000001</v>
      </c>
      <c r="K104" s="71">
        <v>89.460999999999999</v>
      </c>
      <c r="L104" s="71">
        <v>-57.250999999999998</v>
      </c>
      <c r="M104" s="71">
        <v>-86.813999999999993</v>
      </c>
      <c r="N104" s="77">
        <f>'Cash Flow - FY'!H104</f>
        <v>-31.760999999999999</v>
      </c>
      <c r="O104" s="71">
        <v>18.765000000000001</v>
      </c>
      <c r="P104" s="90">
        <v>-4.7140000000000004</v>
      </c>
      <c r="Q104" s="90">
        <v>-15.804</v>
      </c>
      <c r="R104" s="77">
        <f>'Cash Flow - FY'!I104</f>
        <v>-41.715000000000003</v>
      </c>
      <c r="S104" s="71">
        <v>-157.29900000000001</v>
      </c>
      <c r="T104" s="90">
        <v>-166.92400000000001</v>
      </c>
      <c r="U104" s="90">
        <v>-202.41300000000001</v>
      </c>
      <c r="V104" s="77">
        <f>'Cash Flow - FY'!J104</f>
        <v>-192.666</v>
      </c>
    </row>
    <row r="105" spans="1:22" outlineLevel="1" x14ac:dyDescent="0.3">
      <c r="A105" s="138" t="s">
        <v>114</v>
      </c>
      <c r="B105" s="147"/>
      <c r="C105" s="71">
        <v>-133.76499999999999</v>
      </c>
      <c r="D105" s="71">
        <v>-159.44499999999999</v>
      </c>
      <c r="E105" s="71">
        <v>-351.56599999999997</v>
      </c>
      <c r="F105" s="77">
        <f>'Cash Flow - FY'!F105</f>
        <v>-321.85300000000001</v>
      </c>
      <c r="G105" s="71">
        <v>-76.962999999999994</v>
      </c>
      <c r="H105" s="71">
        <v>-181.63900000000001</v>
      </c>
      <c r="I105" s="71">
        <v>-289.94799999999998</v>
      </c>
      <c r="J105" s="77">
        <f>'Cash Flow - FY'!G105</f>
        <v>-280.83199999999999</v>
      </c>
      <c r="K105" s="71">
        <v>-82.724999999999994</v>
      </c>
      <c r="L105" s="71">
        <v>-134.27000000000001</v>
      </c>
      <c r="M105" s="71">
        <v>-148.16300000000001</v>
      </c>
      <c r="N105" s="77">
        <f>'Cash Flow - FY'!H105</f>
        <v>-168.40600000000001</v>
      </c>
      <c r="O105" s="71">
        <v>-59.420999999999999</v>
      </c>
      <c r="P105" s="90">
        <v>-52.6</v>
      </c>
      <c r="Q105" s="90">
        <v>-135.709</v>
      </c>
      <c r="R105" s="77">
        <f>'Cash Flow - FY'!I105</f>
        <v>-85.537000000000006</v>
      </c>
      <c r="S105" s="71">
        <v>-40.502000000000002</v>
      </c>
      <c r="T105" s="90">
        <v>-64.239999999999995</v>
      </c>
      <c r="U105" s="90">
        <v>-82.75</v>
      </c>
      <c r="V105" s="77">
        <f>'Cash Flow - FY'!J105</f>
        <v>-38.503999999999998</v>
      </c>
    </row>
    <row r="106" spans="1:22" outlineLevel="1" x14ac:dyDescent="0.3">
      <c r="A106" s="138" t="s">
        <v>110</v>
      </c>
      <c r="B106" s="147"/>
      <c r="C106" s="71">
        <v>0</v>
      </c>
      <c r="D106" s="71">
        <v>0</v>
      </c>
      <c r="E106" s="71">
        <v>-2.2829999999999999</v>
      </c>
      <c r="F106" s="77">
        <f>'Cash Flow - FY'!F106</f>
        <v>-2.0529999999999999</v>
      </c>
      <c r="G106" s="71">
        <v>0</v>
      </c>
      <c r="H106" s="71">
        <v>0</v>
      </c>
      <c r="I106" s="71">
        <v>-12.742000000000001</v>
      </c>
      <c r="J106" s="77">
        <f>'Cash Flow - FY'!G106</f>
        <v>-12.742000000000001</v>
      </c>
      <c r="K106" s="71">
        <v>0</v>
      </c>
      <c r="L106" s="71">
        <v>0</v>
      </c>
      <c r="M106" s="71">
        <v>-8.3659999999999997</v>
      </c>
      <c r="N106" s="77">
        <f>'Cash Flow - FY'!H106</f>
        <v>-8.3659999999999997</v>
      </c>
      <c r="O106" s="71">
        <v>0</v>
      </c>
      <c r="P106" s="90">
        <v>-185.84899999999999</v>
      </c>
      <c r="Q106" s="90">
        <v>-185.75</v>
      </c>
      <c r="R106" s="77">
        <f>'Cash Flow - FY'!I106</f>
        <v>-185.768</v>
      </c>
      <c r="S106" s="71">
        <v>0</v>
      </c>
      <c r="T106" s="90">
        <v>0</v>
      </c>
      <c r="U106" s="90">
        <v>0</v>
      </c>
      <c r="V106" s="77">
        <f>'Cash Flow - FY'!J106</f>
        <v>0</v>
      </c>
    </row>
    <row r="107" spans="1:22" outlineLevel="1" x14ac:dyDescent="0.3">
      <c r="A107" s="138" t="s">
        <v>318</v>
      </c>
      <c r="B107" s="147"/>
      <c r="C107" s="71">
        <v>0</v>
      </c>
      <c r="D107" s="71">
        <v>0</v>
      </c>
      <c r="E107" s="71">
        <v>0</v>
      </c>
      <c r="F107" s="77">
        <f>'Cash Flow - FY'!F107</f>
        <v>0</v>
      </c>
      <c r="G107" s="71">
        <v>0</v>
      </c>
      <c r="H107" s="71">
        <v>0</v>
      </c>
      <c r="I107" s="71">
        <v>0</v>
      </c>
      <c r="J107" s="77">
        <f>'Cash Flow - FY'!G107</f>
        <v>0</v>
      </c>
      <c r="K107" s="71">
        <v>0</v>
      </c>
      <c r="L107" s="71">
        <v>0</v>
      </c>
      <c r="M107" s="71">
        <v>0</v>
      </c>
      <c r="N107" s="77">
        <f>'Cash Flow - FY'!H107</f>
        <v>0</v>
      </c>
      <c r="O107" s="71">
        <v>-22.672999999999998</v>
      </c>
      <c r="P107" s="90">
        <v>-53.308</v>
      </c>
      <c r="Q107" s="90">
        <v>-76.951999999999998</v>
      </c>
      <c r="R107" s="77">
        <f>'Cash Flow - FY'!I107</f>
        <v>-101.157</v>
      </c>
      <c r="S107" s="71">
        <v>-25.266999999999999</v>
      </c>
      <c r="T107" s="90">
        <v>-43.206000000000003</v>
      </c>
      <c r="U107" s="90">
        <v>-75.224000000000004</v>
      </c>
      <c r="V107" s="77">
        <f>'Cash Flow - FY'!J107</f>
        <v>-99.924000000000007</v>
      </c>
    </row>
    <row r="108" spans="1:22" outlineLevel="1" x14ac:dyDescent="0.3">
      <c r="A108" s="138" t="s">
        <v>319</v>
      </c>
      <c r="B108" s="147"/>
      <c r="C108" s="71">
        <v>0</v>
      </c>
      <c r="D108" s="71">
        <v>0</v>
      </c>
      <c r="E108" s="71">
        <v>0</v>
      </c>
      <c r="F108" s="77">
        <f>'Cash Flow - FY'!F108</f>
        <v>0</v>
      </c>
      <c r="G108" s="71">
        <v>0</v>
      </c>
      <c r="H108" s="71">
        <v>0</v>
      </c>
      <c r="I108" s="71">
        <v>0</v>
      </c>
      <c r="J108" s="77">
        <f>'Cash Flow - FY'!G108</f>
        <v>0</v>
      </c>
      <c r="K108" s="71">
        <v>0</v>
      </c>
      <c r="L108" s="71">
        <v>0</v>
      </c>
      <c r="M108" s="71">
        <v>0</v>
      </c>
      <c r="N108" s="77">
        <f>'Cash Flow - FY'!H108</f>
        <v>4.5</v>
      </c>
      <c r="O108" s="71">
        <v>0</v>
      </c>
      <c r="P108" s="90">
        <v>0</v>
      </c>
      <c r="Q108" s="90">
        <v>0</v>
      </c>
      <c r="R108" s="77">
        <f>'Cash Flow - FY'!I108</f>
        <v>0</v>
      </c>
      <c r="S108" s="71">
        <v>0</v>
      </c>
      <c r="T108" s="90">
        <v>0</v>
      </c>
      <c r="U108" s="90">
        <v>0</v>
      </c>
      <c r="V108" s="77">
        <f>'Cash Flow - FY'!J108</f>
        <v>0</v>
      </c>
    </row>
    <row r="109" spans="1:22" s="25" customFormat="1" ht="13" x14ac:dyDescent="0.3">
      <c r="A109" s="130" t="s">
        <v>115</v>
      </c>
      <c r="B109" s="158"/>
      <c r="C109" s="80">
        <f t="shared" ref="C109:N109" si="51">IFERROR(C101+C102+C103+C104+C105+C106+C107+C108,"n.a.")</f>
        <v>140.935</v>
      </c>
      <c r="D109" s="80">
        <f t="shared" si="51"/>
        <v>-107.74299999999999</v>
      </c>
      <c r="E109" s="80">
        <f t="shared" si="51"/>
        <v>-389.64931200000001</v>
      </c>
      <c r="F109" s="80">
        <f t="shared" si="51"/>
        <v>-714.20400000000006</v>
      </c>
      <c r="G109" s="80">
        <f t="shared" si="51"/>
        <v>-316.62599999999998</v>
      </c>
      <c r="H109" s="80">
        <f t="shared" si="51"/>
        <v>-427.08700000000005</v>
      </c>
      <c r="I109" s="80">
        <f t="shared" si="51"/>
        <v>-584.75399999999991</v>
      </c>
      <c r="J109" s="80">
        <f t="shared" si="51"/>
        <v>-946.46600000000001</v>
      </c>
      <c r="K109" s="80">
        <f t="shared" si="51"/>
        <v>144.364</v>
      </c>
      <c r="L109" s="80">
        <f t="shared" si="51"/>
        <v>96.161000000000001</v>
      </c>
      <c r="M109" s="80">
        <f t="shared" si="51"/>
        <v>154.52300000000002</v>
      </c>
      <c r="N109" s="80">
        <f t="shared" si="51"/>
        <v>-35.081000000000003</v>
      </c>
      <c r="O109" s="80">
        <f>IFERROR(O101+O102+O103+O104+O105+O106+O107+O108,"n.a.")</f>
        <v>264.83699999999999</v>
      </c>
      <c r="P109" s="80">
        <f>IFERROR(P101+P102+P103+P104+P105+P106+P107+P108,"n.a.")</f>
        <v>-120.69499999999996</v>
      </c>
      <c r="Q109" s="80">
        <f>IFERROR(Q101+Q102+Q103+Q104+Q105+Q106+Q107+Q108,"n.a.")</f>
        <v>-160.739</v>
      </c>
      <c r="R109" s="80">
        <f>IFERROR(R99+R100+R101+R102+R103+R104+R105+R106+R107+R108,"n.a.")</f>
        <v>-331.06099999999981</v>
      </c>
      <c r="S109" s="80">
        <f>IFERROR(S101+S102+S103+S104+S105+S106+S107+S108+0.001,"n.a.")</f>
        <v>-5.8410000000000091</v>
      </c>
      <c r="T109" s="80">
        <f>IFERROR(T101+T102+T103+T104+T105+T106+T107+T108,"n.a.")</f>
        <v>614.601</v>
      </c>
      <c r="U109" s="80">
        <f>IFERROR(U101+U102+U103+U104+U105+U106+U107+U108,"n.a.")</f>
        <v>280.74499999999995</v>
      </c>
      <c r="V109" s="80">
        <f>IFERROR(V99+V100+V101+V102+V103+V104+V105+V106+V107+V108,"n.a.")</f>
        <v>439.3979999999998</v>
      </c>
    </row>
    <row r="110" spans="1:22" x14ac:dyDescent="0.3">
      <c r="A110" s="143"/>
      <c r="B110" s="59"/>
      <c r="C110" s="60"/>
      <c r="D110" s="60"/>
      <c r="E110" s="60"/>
      <c r="F110" s="60"/>
      <c r="G110" s="60"/>
      <c r="H110" s="60"/>
      <c r="I110" s="60"/>
      <c r="J110" s="60"/>
      <c r="K110" s="60"/>
      <c r="L110" s="60"/>
      <c r="M110" s="60"/>
      <c r="N110" s="60"/>
      <c r="O110" s="60"/>
      <c r="P110" s="60"/>
      <c r="Q110" s="60"/>
      <c r="R110" s="60"/>
      <c r="S110" s="60"/>
      <c r="T110" s="60"/>
      <c r="U110" s="60"/>
      <c r="V110" s="60"/>
    </row>
    <row r="111" spans="1:22" s="25" customFormat="1" ht="13" x14ac:dyDescent="0.3">
      <c r="A111" s="135" t="s">
        <v>116</v>
      </c>
      <c r="B111" s="146"/>
      <c r="C111" s="45">
        <v>-53.884999999999998</v>
      </c>
      <c r="D111" s="45">
        <v>0</v>
      </c>
      <c r="E111" s="45">
        <v>71.336312000000007</v>
      </c>
      <c r="F111" s="56">
        <f>'Cash Flow - FY'!F111</f>
        <v>29.869</v>
      </c>
      <c r="G111" s="45">
        <v>-145.69</v>
      </c>
      <c r="H111" s="45">
        <v>0</v>
      </c>
      <c r="I111" s="45">
        <v>-74.596999999999994</v>
      </c>
      <c r="J111" s="56">
        <f>'Cash Flow - FY'!G111</f>
        <v>-135.59700000000001</v>
      </c>
      <c r="K111" s="45">
        <v>-22.675000000000001</v>
      </c>
      <c r="L111" s="45">
        <v>-5.3419999999999996</v>
      </c>
      <c r="M111" s="90">
        <v>15.108000000000001</v>
      </c>
      <c r="N111" s="56">
        <f>'Cash Flow - FY'!H111</f>
        <v>37.100999999999999</v>
      </c>
      <c r="O111" s="45">
        <v>0</v>
      </c>
      <c r="P111" s="45">
        <v>0</v>
      </c>
      <c r="Q111" s="45">
        <v>0</v>
      </c>
      <c r="R111" s="56">
        <f>'Cash Flow - FY'!I111</f>
        <v>0</v>
      </c>
      <c r="S111" s="45">
        <v>0</v>
      </c>
      <c r="T111" s="45">
        <v>0</v>
      </c>
      <c r="U111" s="45">
        <v>0</v>
      </c>
      <c r="V111" s="56">
        <f>'Cash Flow - FY'!J111</f>
        <v>0</v>
      </c>
    </row>
    <row r="112" spans="1:22" s="25" customFormat="1" ht="13" x14ac:dyDescent="0.3">
      <c r="A112" s="126" t="s">
        <v>117</v>
      </c>
      <c r="B112" s="153"/>
      <c r="C112" s="106">
        <f t="shared" ref="C112:V112" si="52">IFERROR(C75+C97+C109+C111,"n.a.")</f>
        <v>-435.50799999999987</v>
      </c>
      <c r="D112" s="106">
        <f t="shared" si="52"/>
        <v>-435.29699999999997</v>
      </c>
      <c r="E112" s="106">
        <f t="shared" si="52"/>
        <v>-504.4860000000001</v>
      </c>
      <c r="F112" s="106">
        <f t="shared" si="52"/>
        <v>516.2940000000001</v>
      </c>
      <c r="G112" s="106">
        <f t="shared" si="52"/>
        <v>-1109.827</v>
      </c>
      <c r="H112" s="106">
        <f t="shared" si="52"/>
        <v>-905.38900000000012</v>
      </c>
      <c r="I112" s="106">
        <f t="shared" si="52"/>
        <v>-1111.135627984014</v>
      </c>
      <c r="J112" s="106">
        <f t="shared" si="52"/>
        <v>-342.79008642764995</v>
      </c>
      <c r="K112" s="106">
        <f t="shared" si="52"/>
        <v>-509.18999999999988</v>
      </c>
      <c r="L112" s="106">
        <f t="shared" si="52"/>
        <v>-483.06599999999997</v>
      </c>
      <c r="M112" s="106">
        <f t="shared" si="52"/>
        <v>-487.40000000000015</v>
      </c>
      <c r="N112" s="106">
        <f t="shared" si="52"/>
        <v>250.19299999999976</v>
      </c>
      <c r="O112" s="106">
        <f t="shared" si="52"/>
        <v>-365.60299999999995</v>
      </c>
      <c r="P112" s="106">
        <f t="shared" si="52"/>
        <v>-579.32500000000005</v>
      </c>
      <c r="Q112" s="106">
        <f t="shared" si="52"/>
        <v>-527.10700000000031</v>
      </c>
      <c r="R112" s="106">
        <f t="shared" si="52"/>
        <v>315.86600000000055</v>
      </c>
      <c r="S112" s="106">
        <f t="shared" si="52"/>
        <v>-768.35</v>
      </c>
      <c r="T112" s="106">
        <f t="shared" si="52"/>
        <v>-68.560999999999922</v>
      </c>
      <c r="U112" s="106">
        <f t="shared" si="52"/>
        <v>-359.0080000000001</v>
      </c>
      <c r="V112" s="106">
        <f t="shared" si="52"/>
        <v>806.06899999999973</v>
      </c>
    </row>
    <row r="113" spans="1:24" x14ac:dyDescent="0.3">
      <c r="A113" s="143"/>
      <c r="B113" s="59"/>
      <c r="C113" s="60"/>
      <c r="D113" s="60"/>
      <c r="E113" s="60"/>
      <c r="F113" s="60"/>
      <c r="G113" s="60"/>
      <c r="H113" s="60"/>
      <c r="I113" s="60"/>
      <c r="J113" s="60"/>
      <c r="K113" s="60"/>
      <c r="L113" s="60"/>
      <c r="M113" s="60"/>
      <c r="N113" s="60"/>
      <c r="O113" s="60"/>
      <c r="P113" s="60"/>
      <c r="Q113" s="60"/>
      <c r="R113" s="60"/>
      <c r="S113" s="60"/>
      <c r="T113" s="60"/>
      <c r="U113" s="60"/>
      <c r="V113" s="60"/>
    </row>
    <row r="114" spans="1:24" s="25" customFormat="1" ht="13" x14ac:dyDescent="0.3">
      <c r="A114" s="193" t="s">
        <v>270</v>
      </c>
      <c r="B114" s="146"/>
      <c r="C114" s="90">
        <v>1067.1579999999999</v>
      </c>
      <c r="D114" s="90">
        <v>817.76700000000005</v>
      </c>
      <c r="E114" s="90">
        <v>1094.4570000000001</v>
      </c>
      <c r="F114" s="119">
        <f>'Cash Flow - FY'!F114</f>
        <v>1094.4570000000001</v>
      </c>
      <c r="G114" s="85">
        <f>F117</f>
        <v>1523.9280000000001</v>
      </c>
      <c r="H114" s="90">
        <v>1397.38</v>
      </c>
      <c r="I114" s="85">
        <f>F117</f>
        <v>1523.9280000000001</v>
      </c>
      <c r="J114" s="119">
        <f>'Cash Flow - FY'!G114</f>
        <v>1523.9280000000001</v>
      </c>
      <c r="K114" s="85">
        <f>J117</f>
        <v>1109.6549135723501</v>
      </c>
      <c r="L114" s="85">
        <f>J117</f>
        <v>1109.6549135723501</v>
      </c>
      <c r="M114" s="85">
        <f>J117</f>
        <v>1109.6549135723501</v>
      </c>
      <c r="N114" s="119">
        <f>'Cash Flow - FY'!H114</f>
        <v>1109.63991357235</v>
      </c>
      <c r="O114" s="85">
        <f>N117-0.05</f>
        <v>1303.8369135723499</v>
      </c>
      <c r="P114" s="85">
        <f>N117-0.05</f>
        <v>1303.8369135723499</v>
      </c>
      <c r="Q114" s="85">
        <f>N117-0.05</f>
        <v>1303.8369135723499</v>
      </c>
      <c r="R114" s="119">
        <f>'Cash Flow - FY'!I114</f>
        <v>1303.8519135723498</v>
      </c>
      <c r="S114" s="85">
        <f>R117-0.013</f>
        <v>1600.6129135723504</v>
      </c>
      <c r="T114" s="85">
        <f>R117-0.05</f>
        <v>1600.5759135723504</v>
      </c>
      <c r="U114" s="85">
        <f>R117</f>
        <v>1600.6259135723503</v>
      </c>
      <c r="V114" s="119">
        <f>'Cash Flow - FY'!J114</f>
        <v>1600.6259135723503</v>
      </c>
      <c r="X114" s="232"/>
    </row>
    <row r="115" spans="1:24" x14ac:dyDescent="0.3">
      <c r="A115" s="137" t="s">
        <v>11</v>
      </c>
      <c r="B115" s="147"/>
      <c r="C115" s="71">
        <v>-25.443999999999999</v>
      </c>
      <c r="D115" s="71">
        <v>-7.3360000000000003</v>
      </c>
      <c r="E115" s="71">
        <v>-23.619</v>
      </c>
      <c r="F115" s="77">
        <f>'Cash Flow - FY'!F115</f>
        <v>-86.822999999999993</v>
      </c>
      <c r="G115" s="71">
        <v>2.839</v>
      </c>
      <c r="H115" s="71">
        <v>-49.118000000000002</v>
      </c>
      <c r="I115" s="71">
        <v>-50.427</v>
      </c>
      <c r="J115" s="77">
        <f>'Cash Flow - FY'!G115</f>
        <v>-71.483000000000004</v>
      </c>
      <c r="K115" s="71">
        <v>-12.413</v>
      </c>
      <c r="L115" s="71">
        <v>-45.932000000000002</v>
      </c>
      <c r="M115" s="71">
        <v>-72.896000000000001</v>
      </c>
      <c r="N115" s="77">
        <f>'Cash Flow - FY'!H115</f>
        <v>-55.945999999999998</v>
      </c>
      <c r="O115" s="71">
        <v>9.2110000000000003</v>
      </c>
      <c r="P115" s="71">
        <v>4.3769999999999998</v>
      </c>
      <c r="Q115" s="71">
        <v>-11.691000000000001</v>
      </c>
      <c r="R115" s="77">
        <f>'Cash Flow - FY'!I115</f>
        <v>-19.091999999999999</v>
      </c>
      <c r="S115" s="71">
        <v>-53.97</v>
      </c>
      <c r="T115" s="71">
        <v>-94.54</v>
      </c>
      <c r="U115" s="71">
        <v>-127.03100000000001</v>
      </c>
      <c r="V115" s="77">
        <f>'Cash Flow - FY'!J115</f>
        <v>-137.01300000000001</v>
      </c>
    </row>
    <row r="116" spans="1:24" hidden="1" outlineLevel="3" x14ac:dyDescent="0.3">
      <c r="A116" s="137" t="s">
        <v>10</v>
      </c>
      <c r="B116" s="147"/>
      <c r="C116" s="71">
        <v>0</v>
      </c>
      <c r="D116" s="71">
        <v>0</v>
      </c>
      <c r="E116" s="71">
        <v>0</v>
      </c>
      <c r="F116" s="77">
        <f>'Cash Flow - FY'!F116</f>
        <v>0</v>
      </c>
      <c r="G116" s="71">
        <v>0</v>
      </c>
      <c r="H116" s="71">
        <v>0</v>
      </c>
      <c r="I116" s="71">
        <v>0</v>
      </c>
      <c r="J116" s="77">
        <f>'Cash Flow - FY'!G116</f>
        <v>0</v>
      </c>
      <c r="K116" s="71">
        <v>0</v>
      </c>
      <c r="L116" s="71">
        <v>0</v>
      </c>
      <c r="M116" s="71">
        <v>0</v>
      </c>
      <c r="N116" s="77">
        <f>'Cash Flow - FY'!H116</f>
        <v>0</v>
      </c>
      <c r="O116" s="71">
        <v>0</v>
      </c>
      <c r="P116" s="71">
        <v>0</v>
      </c>
      <c r="Q116" s="71">
        <v>0</v>
      </c>
      <c r="R116" s="77">
        <f>'Cash Flow - FY'!I116</f>
        <v>0</v>
      </c>
      <c r="S116" s="71">
        <v>0</v>
      </c>
      <c r="T116" s="71">
        <v>0</v>
      </c>
      <c r="U116" s="71">
        <v>0</v>
      </c>
      <c r="V116" s="77">
        <f>'Cash Flow - FY'!M116</f>
        <v>0</v>
      </c>
    </row>
    <row r="117" spans="1:24" ht="13" collapsed="1" x14ac:dyDescent="0.3">
      <c r="A117" s="126" t="s">
        <v>9</v>
      </c>
      <c r="B117" s="153"/>
      <c r="C117" s="106">
        <f t="shared" ref="C117:M117" si="53">IFERROR(C112+C114+C115+C116,"n.a.")</f>
        <v>606.20600000000013</v>
      </c>
      <c r="D117" s="106">
        <f t="shared" si="53"/>
        <v>375.13400000000007</v>
      </c>
      <c r="E117" s="106">
        <f t="shared" si="53"/>
        <v>566.35199999999998</v>
      </c>
      <c r="F117" s="106">
        <f t="shared" si="53"/>
        <v>1523.9280000000001</v>
      </c>
      <c r="G117" s="106">
        <f t="shared" si="53"/>
        <v>416.94000000000011</v>
      </c>
      <c r="H117" s="106">
        <f t="shared" si="53"/>
        <v>442.87299999999999</v>
      </c>
      <c r="I117" s="106">
        <f t="shared" si="53"/>
        <v>362.36537201598605</v>
      </c>
      <c r="J117" s="106">
        <f t="shared" si="53"/>
        <v>1109.6549135723501</v>
      </c>
      <c r="K117" s="106">
        <f t="shared" si="53"/>
        <v>588.05191357235026</v>
      </c>
      <c r="L117" s="106">
        <f>IFERROR(L112+L114+L115+L116,"n.a.")-0.011</f>
        <v>580.64591357235008</v>
      </c>
      <c r="M117" s="106">
        <f t="shared" si="53"/>
        <v>549.35891357235005</v>
      </c>
      <c r="N117" s="106">
        <f>IFERROR(N112+N114+N115+N116,"n.a.")</f>
        <v>1303.8869135723498</v>
      </c>
      <c r="O117" s="106">
        <f t="shared" ref="O117:Q117" si="54">IFERROR(O112+O114+O115+O116,"n.a.")</f>
        <v>947.44491357234995</v>
      </c>
      <c r="P117" s="106">
        <f t="shared" si="54"/>
        <v>728.88891357234979</v>
      </c>
      <c r="Q117" s="106">
        <f t="shared" si="54"/>
        <v>765.03891357234954</v>
      </c>
      <c r="R117" s="106">
        <f>IFERROR(R112+R114+R115+R116,"n.a.")</f>
        <v>1600.6259135723503</v>
      </c>
      <c r="S117" s="106">
        <f t="shared" ref="S117:T117" si="55">IFERROR(S112+S114+S115+S116,"n.a.")</f>
        <v>778.29291357235036</v>
      </c>
      <c r="T117" s="106">
        <f t="shared" si="55"/>
        <v>1437.4749135723505</v>
      </c>
      <c r="U117" s="106">
        <f t="shared" ref="U117" si="56">IFERROR(U112+U114+U115+U116,"n.a.")</f>
        <v>1114.5869135723503</v>
      </c>
      <c r="V117" s="106">
        <f>IFERROR(V112+V114+V115+V116,"n.a.")</f>
        <v>2269.6819135723499</v>
      </c>
    </row>
    <row r="120" spans="1:24" s="63" customFormat="1" ht="11.25" customHeight="1" x14ac:dyDescent="0.3">
      <c r="A120" s="260" t="s">
        <v>244</v>
      </c>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row>
    <row r="121" spans="1:24" s="63" customFormat="1" ht="11.25" customHeight="1" x14ac:dyDescent="0.3">
      <c r="A121" s="260" t="s">
        <v>298</v>
      </c>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row>
    <row r="122" spans="1:24" s="63" customFormat="1" ht="11.25" customHeight="1" x14ac:dyDescent="0.3">
      <c r="A122" s="260" t="s">
        <v>297</v>
      </c>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row>
  </sheetData>
  <mergeCells count="3">
    <mergeCell ref="A120:W120"/>
    <mergeCell ref="A122:W122"/>
    <mergeCell ref="A121:W121"/>
  </mergeCells>
  <pageMargins left="0" right="0" top="0" bottom="0" header="0" footer="0"/>
  <pageSetup paperSize="9" scale="58" orientation="portrait" r:id="rId1"/>
  <ignoredErrors>
    <ignoredError sqref="D54 H54 N51:N53 F12:F13 N12:N13 J13 F40 L54 L117 R12 R8 S109 N15 R97"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R70"/>
  <sheetViews>
    <sheetView showGridLines="0" zoomScale="90" zoomScaleNormal="90" zoomScaleSheetLayoutView="90" workbookViewId="0">
      <pane xSplit="2" ySplit="6" topLeftCell="C7" activePane="bottomRight" state="frozen"/>
      <selection pane="topRight" activeCell="C1" sqref="C1"/>
      <selection pane="bottomLeft" activeCell="A7" sqref="A7"/>
      <selection pane="bottomRight"/>
    </sheetView>
  </sheetViews>
  <sheetFormatPr defaultColWidth="9" defaultRowHeight="12.5" outlineLevelRow="2" outlineLevelCol="1" x14ac:dyDescent="0.3"/>
  <cols>
    <col min="1" max="1" width="50.58203125" style="2" customWidth="1"/>
    <col min="2" max="2" width="4.58203125" style="2" customWidth="1"/>
    <col min="3" max="3" width="12.58203125" style="41" hidden="1" customWidth="1" outlineLevel="1"/>
    <col min="4" max="4" width="12.58203125" style="41" customWidth="1" collapsed="1"/>
    <col min="5" max="10" width="12.58203125" style="41" customWidth="1"/>
    <col min="11" max="11" width="2.58203125" style="2" customWidth="1"/>
    <col min="12" max="16384" width="9" style="2"/>
  </cols>
  <sheetData>
    <row r="1" spans="1:18" s="9" customFormat="1" ht="27.75" customHeight="1" x14ac:dyDescent="0.3">
      <c r="A1" s="9" t="s">
        <v>193</v>
      </c>
      <c r="C1" s="10"/>
      <c r="D1" s="10"/>
      <c r="E1" s="10"/>
      <c r="F1" s="10"/>
      <c r="G1" s="10"/>
      <c r="H1" s="10"/>
      <c r="I1" s="10"/>
      <c r="J1" s="10"/>
    </row>
    <row r="2" spans="1:18" x14ac:dyDescent="0.3">
      <c r="A2" s="33" t="s">
        <v>192</v>
      </c>
      <c r="B2" s="33"/>
      <c r="C2" s="185"/>
      <c r="D2" s="185"/>
      <c r="E2" s="185"/>
      <c r="F2" s="185"/>
      <c r="G2" s="185"/>
      <c r="H2" s="185"/>
      <c r="I2" s="185"/>
      <c r="J2" s="185"/>
    </row>
    <row r="3" spans="1:18" x14ac:dyDescent="0.3">
      <c r="K3" s="159"/>
    </row>
    <row r="4" spans="1:18" s="25" customFormat="1" ht="13.5" thickBot="1" x14ac:dyDescent="0.35">
      <c r="A4" s="12" t="s">
        <v>149</v>
      </c>
      <c r="B4" s="12"/>
      <c r="C4" s="14" t="s">
        <v>24</v>
      </c>
      <c r="D4" s="14" t="s">
        <v>25</v>
      </c>
      <c r="E4" s="14" t="s">
        <v>26</v>
      </c>
      <c r="F4" s="14" t="s">
        <v>26</v>
      </c>
      <c r="G4" s="14" t="s">
        <v>162</v>
      </c>
      <c r="H4" s="14" t="s">
        <v>265</v>
      </c>
      <c r="I4" s="14" t="s">
        <v>309</v>
      </c>
      <c r="J4" s="14" t="s">
        <v>338</v>
      </c>
    </row>
    <row r="5" spans="1:18" x14ac:dyDescent="0.3">
      <c r="C5" s="41" t="s">
        <v>178</v>
      </c>
      <c r="D5" s="41" t="s">
        <v>178</v>
      </c>
      <c r="E5" s="41" t="s">
        <v>178</v>
      </c>
      <c r="F5" s="41" t="s">
        <v>191</v>
      </c>
      <c r="G5" s="41" t="s">
        <v>177</v>
      </c>
      <c r="H5" s="41" t="s">
        <v>177</v>
      </c>
      <c r="I5" s="41" t="s">
        <v>177</v>
      </c>
      <c r="J5" s="41" t="s">
        <v>177</v>
      </c>
    </row>
    <row r="7" spans="1:18" s="25" customFormat="1" ht="13" x14ac:dyDescent="0.3">
      <c r="A7" s="103" t="s">
        <v>210</v>
      </c>
      <c r="B7" s="103"/>
      <c r="C7" s="105">
        <v>4479.9049999999997</v>
      </c>
      <c r="D7" s="105">
        <v>4785.3969999999999</v>
      </c>
      <c r="E7" s="105">
        <v>4976.3959999999997</v>
      </c>
      <c r="F7" s="105">
        <v>4976.3959999999997</v>
      </c>
      <c r="G7" s="105">
        <v>5352.2759999999998</v>
      </c>
      <c r="H7" s="105">
        <v>5194.4640000000009</v>
      </c>
      <c r="I7" s="105">
        <v>5323.0529999999999</v>
      </c>
      <c r="J7" s="105">
        <v>4302.1310000000003</v>
      </c>
      <c r="K7" s="2"/>
      <c r="L7" s="178"/>
    </row>
    <row r="8" spans="1:18" ht="13" x14ac:dyDescent="0.3">
      <c r="A8" s="39" t="s">
        <v>14</v>
      </c>
      <c r="B8" s="39"/>
      <c r="C8" s="45">
        <v>2034.7570000000001</v>
      </c>
      <c r="D8" s="45">
        <v>2484.0830000000001</v>
      </c>
      <c r="E8" s="45">
        <v>2754.85</v>
      </c>
      <c r="F8" s="45">
        <v>2754.85</v>
      </c>
      <c r="G8" s="45">
        <v>3079.2139999999999</v>
      </c>
      <c r="H8" s="45">
        <v>3309.9160000000002</v>
      </c>
      <c r="I8" s="45">
        <v>3539.9270000000001</v>
      </c>
      <c r="J8" s="45">
        <v>3029.819</v>
      </c>
      <c r="L8" s="178"/>
      <c r="M8" s="25"/>
      <c r="N8" s="25"/>
      <c r="O8" s="25"/>
      <c r="P8" s="25"/>
      <c r="Q8" s="25"/>
    </row>
    <row r="9" spans="1:18" ht="13" x14ac:dyDescent="0.3">
      <c r="A9" s="32" t="s">
        <v>13</v>
      </c>
      <c r="B9" s="32"/>
      <c r="C9" s="84">
        <f t="shared" ref="C9:H9" si="0">IFERROR(C7-C8,"n.a.")</f>
        <v>2445.1479999999997</v>
      </c>
      <c r="D9" s="84">
        <f t="shared" si="0"/>
        <v>2301.3139999999999</v>
      </c>
      <c r="E9" s="84">
        <f t="shared" si="0"/>
        <v>2221.5459999999998</v>
      </c>
      <c r="F9" s="84">
        <f t="shared" si="0"/>
        <v>2221.5459999999998</v>
      </c>
      <c r="G9" s="84">
        <f t="shared" si="0"/>
        <v>2273.0619999999999</v>
      </c>
      <c r="H9" s="84">
        <f t="shared" si="0"/>
        <v>1884.5480000000007</v>
      </c>
      <c r="I9" s="84">
        <f>IFERROR(I7-I8+0.05,"n.a.")</f>
        <v>1783.1759999999997</v>
      </c>
      <c r="J9" s="84">
        <f>IFERROR(J7-J8,"n.a.")</f>
        <v>1272.3120000000004</v>
      </c>
      <c r="L9" s="178"/>
      <c r="M9" s="178"/>
      <c r="N9" s="183"/>
      <c r="O9" s="25"/>
      <c r="P9" s="25"/>
      <c r="Q9" s="25"/>
    </row>
    <row r="10" spans="1:18" ht="13" x14ac:dyDescent="0.3">
      <c r="C10" s="44"/>
      <c r="D10" s="44"/>
      <c r="E10" s="44"/>
      <c r="F10" s="44"/>
      <c r="G10" s="44"/>
      <c r="H10" s="44"/>
      <c r="I10" s="44"/>
      <c r="J10" s="44"/>
      <c r="L10" s="25"/>
      <c r="M10" s="25"/>
      <c r="N10" s="25"/>
      <c r="O10" s="25"/>
      <c r="P10" s="25"/>
      <c r="Q10" s="25"/>
    </row>
    <row r="11" spans="1:18" s="25" customFormat="1" ht="13" hidden="1" outlineLevel="2" x14ac:dyDescent="0.3">
      <c r="A11" s="42" t="s">
        <v>211</v>
      </c>
      <c r="B11" s="42"/>
      <c r="C11" s="43">
        <v>889.71800000000007</v>
      </c>
      <c r="D11" s="43">
        <v>1021.3589999999999</v>
      </c>
      <c r="E11" s="43">
        <v>1082.307</v>
      </c>
      <c r="F11" s="43">
        <v>1082.307</v>
      </c>
      <c r="G11" s="43">
        <v>1175.1000000000001</v>
      </c>
      <c r="H11" s="43">
        <v>1279.1000000000001</v>
      </c>
      <c r="I11" s="43">
        <v>1350.7</v>
      </c>
      <c r="J11" s="43" t="s">
        <v>230</v>
      </c>
      <c r="K11" s="2"/>
      <c r="L11" s="182"/>
      <c r="M11" s="2"/>
      <c r="N11" s="2"/>
      <c r="O11" s="2"/>
      <c r="P11" s="2"/>
      <c r="Q11" s="2"/>
      <c r="R11" s="2"/>
    </row>
    <row r="12" spans="1:18" ht="13" hidden="1" outlineLevel="2" x14ac:dyDescent="0.3">
      <c r="A12" s="167" t="s">
        <v>212</v>
      </c>
      <c r="B12" s="167"/>
      <c r="C12" s="50">
        <f t="shared" ref="C12:I12" si="1">IFERROR(C11/C7,"n.a.")</f>
        <v>0.19860197928304285</v>
      </c>
      <c r="D12" s="50">
        <f t="shared" si="1"/>
        <v>0.21343244876025957</v>
      </c>
      <c r="E12" s="50">
        <f t="shared" si="1"/>
        <v>0.21748811790701544</v>
      </c>
      <c r="F12" s="50">
        <f t="shared" si="1"/>
        <v>0.21748811790701544</v>
      </c>
      <c r="G12" s="50">
        <f t="shared" si="1"/>
        <v>0.21955145810866258</v>
      </c>
      <c r="H12" s="50">
        <f t="shared" si="1"/>
        <v>0.24624292323519809</v>
      </c>
      <c r="I12" s="50">
        <f t="shared" si="1"/>
        <v>0.25374536004056319</v>
      </c>
      <c r="J12" s="50" t="str">
        <f t="shared" ref="J12" si="2">IFERROR(J11/J7,"n.a.")</f>
        <v>n.a.</v>
      </c>
      <c r="M12" s="25"/>
    </row>
    <row r="13" spans="1:18" hidden="1" outlineLevel="2" x14ac:dyDescent="0.3">
      <c r="C13" s="44"/>
      <c r="D13" s="44"/>
      <c r="E13" s="44"/>
      <c r="F13" s="44"/>
      <c r="G13" s="44"/>
      <c r="H13" s="44"/>
      <c r="I13" s="44"/>
      <c r="J13" s="44"/>
    </row>
    <row r="14" spans="1:18" s="25" customFormat="1" ht="13" collapsed="1" x14ac:dyDescent="0.3">
      <c r="A14" s="103" t="s">
        <v>213</v>
      </c>
      <c r="B14" s="103"/>
      <c r="C14" s="105">
        <v>889.71800000000007</v>
      </c>
      <c r="D14" s="105">
        <v>1021.3589999999999</v>
      </c>
      <c r="E14" s="105">
        <v>1082.307</v>
      </c>
      <c r="F14" s="105">
        <v>1082.307</v>
      </c>
      <c r="G14" s="105">
        <v>1137.7</v>
      </c>
      <c r="H14" s="105">
        <v>1234.7</v>
      </c>
      <c r="I14" s="105">
        <v>1310.085</v>
      </c>
      <c r="J14" s="105">
        <v>892.63400000000001</v>
      </c>
      <c r="K14" s="2"/>
      <c r="L14" s="178"/>
      <c r="M14" s="2"/>
      <c r="N14" s="2"/>
      <c r="O14" s="2"/>
      <c r="P14" s="2"/>
      <c r="Q14" s="2"/>
      <c r="R14" s="2"/>
    </row>
    <row r="15" spans="1:18" x14ac:dyDescent="0.3">
      <c r="A15" s="165" t="s">
        <v>214</v>
      </c>
      <c r="B15" s="165"/>
      <c r="C15" s="47">
        <f t="shared" ref="C15:I15" si="3">IFERROR(C14/C7,"n.a.")</f>
        <v>0.19860197928304285</v>
      </c>
      <c r="D15" s="47">
        <f t="shared" si="3"/>
        <v>0.21343244876025957</v>
      </c>
      <c r="E15" s="47">
        <f t="shared" si="3"/>
        <v>0.21748811790701544</v>
      </c>
      <c r="F15" s="47">
        <f t="shared" si="3"/>
        <v>0.21748811790701544</v>
      </c>
      <c r="G15" s="47">
        <f t="shared" si="3"/>
        <v>0.2125637766064381</v>
      </c>
      <c r="H15" s="47">
        <f t="shared" si="3"/>
        <v>0.23769536183136505</v>
      </c>
      <c r="I15" s="47">
        <f t="shared" si="3"/>
        <v>0.24611534020044512</v>
      </c>
      <c r="J15" s="47">
        <f t="shared" ref="J15" si="4">IFERROR(J14/J7,"n.a.")</f>
        <v>0.20748647588834462</v>
      </c>
    </row>
    <row r="16" spans="1:18" x14ac:dyDescent="0.3">
      <c r="C16" s="44"/>
      <c r="D16" s="44"/>
      <c r="E16" s="44"/>
      <c r="F16" s="44"/>
      <c r="G16" s="44"/>
      <c r="H16" s="44"/>
      <c r="I16" s="44"/>
      <c r="J16" s="44"/>
    </row>
    <row r="17" spans="1:18" s="25" customFormat="1" ht="15" customHeight="1" outlineLevel="1" x14ac:dyDescent="0.3">
      <c r="A17" s="39" t="s">
        <v>261</v>
      </c>
      <c r="B17" s="39"/>
      <c r="C17" s="81">
        <f t="shared" ref="C17:G17" si="5">IFERROR(C24-C14,"n.a.")</f>
        <v>-235.47399999999993</v>
      </c>
      <c r="D17" s="81">
        <f t="shared" si="5"/>
        <v>-252.154</v>
      </c>
      <c r="E17" s="81">
        <f t="shared" si="5"/>
        <v>-237.98400000000004</v>
      </c>
      <c r="F17" s="81">
        <f t="shared" si="5"/>
        <v>-237.98400000000004</v>
      </c>
      <c r="G17" s="81">
        <f t="shared" si="5"/>
        <v>-261.30000000000007</v>
      </c>
      <c r="H17" s="81">
        <f>IFERROR(H24-H14,"n.a.")</f>
        <v>-279.70000000000005</v>
      </c>
      <c r="I17" s="81">
        <f>IFERROR(I24-I14,"n.a.")</f>
        <v>-392.78499999999997</v>
      </c>
      <c r="J17" s="81">
        <f>IFERROR(J24-J14,"n.a.")</f>
        <v>-391.45400000000001</v>
      </c>
      <c r="K17" s="31"/>
      <c r="L17" s="2"/>
      <c r="M17" s="2"/>
      <c r="N17" s="2"/>
      <c r="O17" s="2"/>
      <c r="P17" s="2"/>
      <c r="Q17" s="2"/>
      <c r="R17" s="2"/>
    </row>
    <row r="18" spans="1:18" ht="13" x14ac:dyDescent="0.3">
      <c r="C18" s="44"/>
      <c r="D18" s="44"/>
      <c r="E18" s="44"/>
      <c r="F18" s="44"/>
      <c r="G18" s="44"/>
      <c r="H18" s="44"/>
      <c r="I18" s="44"/>
      <c r="J18" s="44"/>
      <c r="L18" s="25"/>
      <c r="M18" s="25"/>
      <c r="N18" s="25"/>
      <c r="O18" s="25"/>
      <c r="P18" s="25"/>
      <c r="Q18" s="25"/>
    </row>
    <row r="19" spans="1:18" s="25" customFormat="1" ht="13" hidden="1" outlineLevel="2" x14ac:dyDescent="0.3">
      <c r="A19" s="42" t="s">
        <v>215</v>
      </c>
      <c r="B19" s="42"/>
      <c r="C19" s="43">
        <v>654.24400000000014</v>
      </c>
      <c r="D19" s="43">
        <v>769.20499999999993</v>
      </c>
      <c r="E19" s="43">
        <v>844.32299999999998</v>
      </c>
      <c r="F19" s="43">
        <v>844.32299999999998</v>
      </c>
      <c r="G19" s="43">
        <v>926.6</v>
      </c>
      <c r="H19" s="43">
        <v>1002.7</v>
      </c>
      <c r="I19" s="43">
        <v>958.6</v>
      </c>
      <c r="J19" s="43" t="s">
        <v>230</v>
      </c>
      <c r="K19" s="2"/>
      <c r="L19" s="182"/>
    </row>
    <row r="20" spans="1:18" hidden="1" outlineLevel="2" x14ac:dyDescent="0.3">
      <c r="A20" s="116" t="s">
        <v>186</v>
      </c>
      <c r="B20" s="116"/>
      <c r="C20" s="161">
        <v>0.68</v>
      </c>
      <c r="D20" s="162">
        <v>0.77</v>
      </c>
      <c r="E20" s="162">
        <v>0.81</v>
      </c>
      <c r="F20" s="162">
        <v>0.81</v>
      </c>
      <c r="G20" s="162">
        <v>0.83</v>
      </c>
      <c r="H20" s="162">
        <v>0.83199999999999996</v>
      </c>
      <c r="I20" s="162">
        <v>0.83499999999999996</v>
      </c>
      <c r="J20" s="162" t="s">
        <v>230</v>
      </c>
    </row>
    <row r="21" spans="1:18" ht="13" hidden="1" outlineLevel="2" x14ac:dyDescent="0.3">
      <c r="A21" s="165" t="s">
        <v>216</v>
      </c>
      <c r="B21" s="165"/>
      <c r="C21" s="47">
        <f t="shared" ref="C21:I21" si="6">IFERROR(C19/C7,"n.a.")</f>
        <v>0.14603970396693683</v>
      </c>
      <c r="D21" s="47">
        <f t="shared" si="6"/>
        <v>0.16074005981112954</v>
      </c>
      <c r="E21" s="47">
        <f t="shared" si="6"/>
        <v>0.16966555716225157</v>
      </c>
      <c r="F21" s="47">
        <f t="shared" si="6"/>
        <v>0.16966555716225157</v>
      </c>
      <c r="G21" s="47">
        <f t="shared" si="6"/>
        <v>0.17312261176366839</v>
      </c>
      <c r="H21" s="47">
        <f t="shared" si="6"/>
        <v>0.19303242836989531</v>
      </c>
      <c r="I21" s="47">
        <f t="shared" si="6"/>
        <v>0.18008462436875983</v>
      </c>
      <c r="J21" s="47" t="str">
        <f t="shared" ref="J21" si="7">IFERROR(J19/J7,"n.a.")</f>
        <v>n.a.</v>
      </c>
      <c r="M21" s="25"/>
    </row>
    <row r="22" spans="1:18" ht="12.75" hidden="1" customHeight="1" outlineLevel="2" x14ac:dyDescent="0.3">
      <c r="A22" s="39" t="s">
        <v>32</v>
      </c>
      <c r="B22" s="39"/>
      <c r="C22" s="117">
        <v>0</v>
      </c>
      <c r="D22" s="117">
        <v>0</v>
      </c>
      <c r="E22" s="117">
        <v>0</v>
      </c>
      <c r="F22" s="117">
        <v>0</v>
      </c>
      <c r="G22" s="117">
        <v>-50.2</v>
      </c>
      <c r="H22" s="117">
        <v>-47.7</v>
      </c>
      <c r="I22" s="117">
        <v>-41.3</v>
      </c>
      <c r="J22" s="117" t="s">
        <v>230</v>
      </c>
    </row>
    <row r="23" spans="1:18" hidden="1" outlineLevel="2" x14ac:dyDescent="0.3">
      <c r="C23" s="44"/>
      <c r="D23" s="44"/>
      <c r="E23" s="44"/>
      <c r="F23" s="44"/>
      <c r="G23" s="44"/>
      <c r="H23" s="44"/>
      <c r="I23" s="44"/>
      <c r="J23" s="44"/>
    </row>
    <row r="24" spans="1:18" s="25" customFormat="1" ht="13" collapsed="1" x14ac:dyDescent="0.3">
      <c r="A24" s="103" t="s">
        <v>217</v>
      </c>
      <c r="B24" s="103"/>
      <c r="C24" s="104">
        <f t="shared" ref="C24:G24" si="8">IFERROR(C19+C22,"n.a.")</f>
        <v>654.24400000000014</v>
      </c>
      <c r="D24" s="104">
        <f t="shared" si="8"/>
        <v>769.20499999999993</v>
      </c>
      <c r="E24" s="104">
        <f t="shared" si="8"/>
        <v>844.32299999999998</v>
      </c>
      <c r="F24" s="104">
        <f t="shared" si="8"/>
        <v>844.32299999999998</v>
      </c>
      <c r="G24" s="104">
        <f t="shared" si="8"/>
        <v>876.4</v>
      </c>
      <c r="H24" s="104">
        <f>IFERROR(H19+H22,"n.a.")</f>
        <v>955</v>
      </c>
      <c r="I24" s="104">
        <f>IFERROR(I19+I22,"n.a.")</f>
        <v>917.30000000000007</v>
      </c>
      <c r="J24" s="105">
        <v>501.18</v>
      </c>
      <c r="K24" s="2"/>
      <c r="L24" s="178"/>
      <c r="M24" s="2"/>
      <c r="N24" s="2"/>
      <c r="O24" s="2"/>
      <c r="P24" s="2"/>
      <c r="Q24" s="2"/>
      <c r="R24" s="2"/>
    </row>
    <row r="25" spans="1:18" x14ac:dyDescent="0.3">
      <c r="A25" s="166" t="s">
        <v>218</v>
      </c>
      <c r="B25" s="166"/>
      <c r="C25" s="53">
        <f t="shared" ref="C25:I25" si="9">IFERROR(C24/C7,"n.a.")</f>
        <v>0.14603970396693683</v>
      </c>
      <c r="D25" s="53">
        <f t="shared" si="9"/>
        <v>0.16074005981112954</v>
      </c>
      <c r="E25" s="53">
        <f t="shared" si="9"/>
        <v>0.16966555716225157</v>
      </c>
      <c r="F25" s="53">
        <f t="shared" si="9"/>
        <v>0.16966555716225157</v>
      </c>
      <c r="G25" s="53">
        <f t="shared" si="9"/>
        <v>0.16374342429276817</v>
      </c>
      <c r="H25" s="53">
        <f t="shared" si="9"/>
        <v>0.18384957524010173</v>
      </c>
      <c r="I25" s="53">
        <f t="shared" si="9"/>
        <v>0.17232591897920235</v>
      </c>
      <c r="J25" s="53">
        <f t="shared" ref="J25" si="10">IFERROR(J24/J7,"n.a.")</f>
        <v>0.11649575524315739</v>
      </c>
    </row>
    <row r="26" spans="1:18" ht="15" customHeight="1" outlineLevel="1" x14ac:dyDescent="0.3">
      <c r="A26" s="39" t="s">
        <v>30</v>
      </c>
      <c r="B26" s="39"/>
      <c r="C26" s="45">
        <v>-6.2</v>
      </c>
      <c r="D26" s="45">
        <v>-6.2</v>
      </c>
      <c r="E26" s="45">
        <v>-104.6</v>
      </c>
      <c r="F26" s="45">
        <v>-104.6</v>
      </c>
      <c r="G26" s="45">
        <v>-109.6</v>
      </c>
      <c r="H26" s="45">
        <v>-114.6</v>
      </c>
      <c r="I26" s="45">
        <v>-114.6</v>
      </c>
      <c r="J26" s="45">
        <v>-114.6</v>
      </c>
    </row>
    <row r="27" spans="1:18" ht="15" customHeight="1" outlineLevel="1" x14ac:dyDescent="0.3">
      <c r="A27" s="32" t="s">
        <v>342</v>
      </c>
      <c r="B27" s="32"/>
      <c r="C27" s="46">
        <v>-24.263000000000002</v>
      </c>
      <c r="D27" s="46">
        <v>-55.195</v>
      </c>
      <c r="E27" s="46">
        <v>-53.271000000000001</v>
      </c>
      <c r="F27" s="46">
        <v>-53.271000000000001</v>
      </c>
      <c r="G27" s="46">
        <v>-93.2</v>
      </c>
      <c r="H27" s="46">
        <v>-137.30000000000001</v>
      </c>
      <c r="I27" s="89">
        <v>-59.994999999999997</v>
      </c>
      <c r="J27" s="89">
        <v>-167.44200000000001</v>
      </c>
      <c r="L27" s="225"/>
    </row>
    <row r="28" spans="1:18" x14ac:dyDescent="0.3">
      <c r="C28" s="44"/>
      <c r="D28" s="44"/>
      <c r="E28" s="44"/>
      <c r="F28" s="44"/>
      <c r="G28" s="44"/>
      <c r="H28" s="44"/>
      <c r="I28" s="44"/>
      <c r="J28" s="44"/>
    </row>
    <row r="29" spans="1:18" ht="15" hidden="1" customHeight="1" outlineLevel="2" x14ac:dyDescent="0.3">
      <c r="A29" s="32" t="s">
        <v>21</v>
      </c>
      <c r="B29" s="32"/>
      <c r="C29" s="46">
        <v>41.832000000000001</v>
      </c>
      <c r="D29" s="46">
        <v>64.242999999999995</v>
      </c>
      <c r="E29" s="46">
        <v>0</v>
      </c>
      <c r="F29" s="46">
        <v>0</v>
      </c>
      <c r="G29" s="46">
        <v>0</v>
      </c>
      <c r="H29" s="46">
        <v>0</v>
      </c>
      <c r="I29" s="46">
        <v>0</v>
      </c>
      <c r="J29" s="46">
        <v>0</v>
      </c>
    </row>
    <row r="30" spans="1:18" ht="15" hidden="1" customHeight="1" outlineLevel="2" x14ac:dyDescent="0.3">
      <c r="A30" s="32" t="s">
        <v>22</v>
      </c>
      <c r="B30" s="32"/>
      <c r="C30" s="46">
        <v>28.576000000000001</v>
      </c>
      <c r="D30" s="46">
        <v>0</v>
      </c>
      <c r="E30" s="46">
        <v>0</v>
      </c>
      <c r="F30" s="46">
        <v>0</v>
      </c>
      <c r="G30" s="46">
        <v>0</v>
      </c>
      <c r="H30" s="46">
        <v>0</v>
      </c>
      <c r="I30" s="46">
        <v>0</v>
      </c>
      <c r="J30" s="46">
        <v>0</v>
      </c>
    </row>
    <row r="31" spans="1:18" s="25" customFormat="1" ht="13" collapsed="1" x14ac:dyDescent="0.3">
      <c r="A31" s="42" t="s">
        <v>12</v>
      </c>
      <c r="B31" s="42"/>
      <c r="C31" s="51">
        <f t="shared" ref="C31:G31" si="11">IFERROR(C24+C26+C27+C29+C30,"n.a.")</f>
        <v>694.18900000000008</v>
      </c>
      <c r="D31" s="51">
        <f t="shared" si="11"/>
        <v>772.05299999999988</v>
      </c>
      <c r="E31" s="51">
        <f t="shared" si="11"/>
        <v>686.452</v>
      </c>
      <c r="F31" s="51">
        <f t="shared" si="11"/>
        <v>686.452</v>
      </c>
      <c r="G31" s="51">
        <f t="shared" si="11"/>
        <v>673.59999999999991</v>
      </c>
      <c r="H31" s="51">
        <f>IFERROR(H24+H26+H27+H29+H30,"n.a.")</f>
        <v>703.09999999999991</v>
      </c>
      <c r="I31" s="51">
        <f>IFERROR(I24+I26+I27+I29+I30,"n.a.")</f>
        <v>742.70500000000004</v>
      </c>
      <c r="J31" s="51">
        <f>IFERROR(J24+J26+J27+J29+J30,"n.a.")</f>
        <v>219.13800000000003</v>
      </c>
      <c r="K31" s="31"/>
      <c r="L31" s="2"/>
      <c r="M31" s="2"/>
      <c r="N31" s="2"/>
      <c r="O31" s="2"/>
      <c r="P31" s="2"/>
      <c r="Q31" s="2"/>
      <c r="R31" s="2"/>
    </row>
    <row r="32" spans="1:18" x14ac:dyDescent="0.3">
      <c r="C32" s="44"/>
      <c r="D32" s="44"/>
      <c r="E32" s="44"/>
      <c r="F32" s="44"/>
      <c r="G32" s="44"/>
      <c r="H32" s="44"/>
      <c r="I32" s="44"/>
      <c r="J32" s="44"/>
    </row>
    <row r="33" spans="1:12" outlineLevel="1" x14ac:dyDescent="0.3">
      <c r="A33" s="39" t="s">
        <v>17</v>
      </c>
      <c r="B33" s="39"/>
      <c r="C33" s="45">
        <v>-87</v>
      </c>
      <c r="D33" s="45">
        <v>-41.393000000000001</v>
      </c>
      <c r="E33" s="90">
        <v>-20.018999999999998</v>
      </c>
      <c r="F33" s="90">
        <v>-20.018999999999998</v>
      </c>
      <c r="G33" s="45">
        <v>-6.8550000000000004</v>
      </c>
      <c r="H33" s="90">
        <v>-4.9999999999999991</v>
      </c>
      <c r="I33" s="90">
        <v>-11.005000000000001</v>
      </c>
      <c r="J33" s="90">
        <v>-5.2709999999999999</v>
      </c>
    </row>
    <row r="34" spans="1:12" hidden="1" outlineLevel="2" x14ac:dyDescent="0.3">
      <c r="A34" s="32" t="s">
        <v>18</v>
      </c>
      <c r="B34" s="32"/>
      <c r="C34" s="46">
        <v>0</v>
      </c>
      <c r="D34" s="46">
        <v>-507.77699999999999</v>
      </c>
      <c r="E34" s="71">
        <v>0</v>
      </c>
      <c r="F34" s="71">
        <v>0</v>
      </c>
      <c r="G34" s="46">
        <v>0</v>
      </c>
      <c r="H34" s="90">
        <v>0</v>
      </c>
      <c r="I34" s="90">
        <v>0</v>
      </c>
      <c r="J34" s="90">
        <v>0</v>
      </c>
    </row>
    <row r="35" spans="1:12" outlineLevel="1" collapsed="1" x14ac:dyDescent="0.3">
      <c r="A35" s="32" t="s">
        <v>360</v>
      </c>
      <c r="B35" s="32"/>
      <c r="C35" s="46">
        <v>-256.93099999999998</v>
      </c>
      <c r="D35" s="46">
        <v>-308.52</v>
      </c>
      <c r="E35" s="71">
        <v>-427.19</v>
      </c>
      <c r="F35" s="71">
        <v>-427.19</v>
      </c>
      <c r="G35" s="46">
        <v>-362.61</v>
      </c>
      <c r="H35" s="71">
        <v>-196.30000000000007</v>
      </c>
      <c r="I35" s="89">
        <v>-109.479</v>
      </c>
      <c r="J35" s="71">
        <v>-156.429</v>
      </c>
    </row>
    <row r="36" spans="1:12" outlineLevel="1" x14ac:dyDescent="0.3">
      <c r="A36" s="32" t="s">
        <v>361</v>
      </c>
      <c r="B36" s="32"/>
      <c r="C36" s="46">
        <v>-130.148</v>
      </c>
      <c r="D36" s="46">
        <v>-278.15499999999997</v>
      </c>
      <c r="E36" s="71">
        <v>-75.256</v>
      </c>
      <c r="F36" s="71">
        <v>-75.256</v>
      </c>
      <c r="G36" s="46">
        <v>-40.847999999999999</v>
      </c>
      <c r="H36" s="71">
        <v>-53</v>
      </c>
      <c r="I36" s="71">
        <v>-164.56200000000001</v>
      </c>
      <c r="J36" s="71">
        <v>-14.693</v>
      </c>
    </row>
    <row r="37" spans="1:12" x14ac:dyDescent="0.3">
      <c r="A37" s="49" t="s">
        <v>174</v>
      </c>
      <c r="B37" s="49"/>
      <c r="C37" s="50">
        <f>IFERROR(C36/SUM(C31,C33,C34,C35),"n.a.")</f>
        <v>-0.37157752285458134</v>
      </c>
      <c r="D37" s="50" t="s">
        <v>175</v>
      </c>
      <c r="E37" s="50">
        <f t="shared" ref="E37:J37" si="12">IFERROR(E36/SUM(E31,E33,E34,E35),"n.a.")</f>
        <v>-0.31455883766714177</v>
      </c>
      <c r="F37" s="50">
        <f t="shared" si="12"/>
        <v>-0.31455883766714177</v>
      </c>
      <c r="G37" s="50">
        <f t="shared" si="12"/>
        <v>-0.13430877735216273</v>
      </c>
      <c r="H37" s="50">
        <f t="shared" si="12"/>
        <v>-0.1056197688322041</v>
      </c>
      <c r="I37" s="50">
        <f t="shared" si="12"/>
        <v>-0.26447516236192609</v>
      </c>
      <c r="J37" s="50">
        <f t="shared" si="12"/>
        <v>-0.2558062606636719</v>
      </c>
    </row>
    <row r="38" spans="1:12" s="25" customFormat="1" ht="13" x14ac:dyDescent="0.3">
      <c r="A38" s="42" t="s">
        <v>187</v>
      </c>
      <c r="B38" s="42"/>
      <c r="C38" s="51">
        <f t="shared" ref="C38:G38" si="13">IFERROR(C31+C33+C34+C35+C36,"n.a.")</f>
        <v>220.1100000000001</v>
      </c>
      <c r="D38" s="51">
        <f t="shared" si="13"/>
        <v>-363.79200000000009</v>
      </c>
      <c r="E38" s="51">
        <f t="shared" si="13"/>
        <v>163.98699999999999</v>
      </c>
      <c r="F38" s="51">
        <f t="shared" si="13"/>
        <v>163.98699999999999</v>
      </c>
      <c r="G38" s="51">
        <f t="shared" si="13"/>
        <v>263.28699999999986</v>
      </c>
      <c r="H38" s="51">
        <f>IFERROR(H31+H33+H34+H35+H36,"n.a.")</f>
        <v>448.79999999999984</v>
      </c>
      <c r="I38" s="51">
        <f>IFERROR(I31+I33+I34+I35+I36,"n.a.")</f>
        <v>457.65899999999999</v>
      </c>
      <c r="J38" s="51">
        <f>IFERROR(J31+J33+J34+J35+J36,"n.a.")</f>
        <v>42.745000000000047</v>
      </c>
      <c r="K38" s="2"/>
      <c r="L38" s="182"/>
    </row>
    <row r="39" spans="1:12" outlineLevel="1" x14ac:dyDescent="0.3">
      <c r="A39" s="32" t="s">
        <v>188</v>
      </c>
      <c r="B39" s="32"/>
      <c r="C39" s="46">
        <v>17.623000000000001</v>
      </c>
      <c r="D39" s="46">
        <v>-14.651</v>
      </c>
      <c r="E39" s="71">
        <v>0</v>
      </c>
      <c r="F39" s="71">
        <v>-16.361999999999998</v>
      </c>
      <c r="G39" s="46">
        <v>-87.561999999999998</v>
      </c>
      <c r="H39" s="71">
        <v>-6.4089999999999998</v>
      </c>
      <c r="I39" s="71">
        <v>0</v>
      </c>
      <c r="J39" s="71">
        <v>0</v>
      </c>
    </row>
    <row r="40" spans="1:12" s="25" customFormat="1" ht="13" x14ac:dyDescent="0.3">
      <c r="A40" s="42" t="s">
        <v>335</v>
      </c>
      <c r="B40" s="42"/>
      <c r="C40" s="51">
        <f t="shared" ref="C40:G40" si="14">IFERROR(C31+C33+C34+C35+C36+C39,"n.a.")</f>
        <v>237.73300000000009</v>
      </c>
      <c r="D40" s="51">
        <f t="shared" si="14"/>
        <v>-378.4430000000001</v>
      </c>
      <c r="E40" s="51">
        <f t="shared" si="14"/>
        <v>163.98699999999999</v>
      </c>
      <c r="F40" s="51">
        <f t="shared" si="14"/>
        <v>147.625</v>
      </c>
      <c r="G40" s="51">
        <f t="shared" si="14"/>
        <v>175.72499999999985</v>
      </c>
      <c r="H40" s="51">
        <f>IFERROR(H31+H33+H34+H35+H36+H39,"n.a.")</f>
        <v>442.39099999999985</v>
      </c>
      <c r="I40" s="51">
        <f>IFERROR(I31+I33+I34+I35+I36+I39,"n.a.")</f>
        <v>457.65899999999999</v>
      </c>
      <c r="J40" s="51">
        <f>IFERROR(J31+J33+J34+J35+J36+J39,"n.a.")</f>
        <v>42.745000000000047</v>
      </c>
      <c r="K40" s="2"/>
      <c r="L40" s="182"/>
    </row>
    <row r="41" spans="1:12" x14ac:dyDescent="0.3">
      <c r="A41" s="64" t="s">
        <v>31</v>
      </c>
      <c r="B41" s="64"/>
      <c r="C41" s="52">
        <v>10.769</v>
      </c>
      <c r="D41" s="52">
        <v>5.3019999999999996</v>
      </c>
      <c r="E41" s="52">
        <v>9.1780000000000008</v>
      </c>
      <c r="F41" s="52">
        <v>12.561999999999999</v>
      </c>
      <c r="G41" s="52">
        <v>-0.68500000000000005</v>
      </c>
      <c r="H41" s="70">
        <v>10.8</v>
      </c>
      <c r="I41" s="70">
        <v>19.600000000000001</v>
      </c>
      <c r="J41" s="70">
        <v>12.9</v>
      </c>
    </row>
    <row r="42" spans="1:12" x14ac:dyDescent="0.3">
      <c r="C42" s="44"/>
      <c r="D42" s="44"/>
      <c r="E42" s="44"/>
      <c r="F42" s="44"/>
      <c r="G42" s="44"/>
      <c r="H42" s="44"/>
      <c r="I42" s="44"/>
      <c r="J42" s="44"/>
    </row>
    <row r="43" spans="1:12" outlineLevel="1" x14ac:dyDescent="0.3">
      <c r="A43" s="163" t="s">
        <v>234</v>
      </c>
      <c r="B43" s="163"/>
      <c r="C43" s="46">
        <v>-39.945</v>
      </c>
      <c r="D43" s="46">
        <v>-2.8479999999999999</v>
      </c>
      <c r="E43" s="46">
        <v>157.87100000000001</v>
      </c>
      <c r="F43" s="46">
        <v>157.87100000000001</v>
      </c>
      <c r="G43" s="46">
        <v>202.8</v>
      </c>
      <c r="H43" s="46">
        <v>251.92900000000003</v>
      </c>
      <c r="I43" s="46">
        <f>114.6+97+13.1+14-71+6.9</f>
        <v>174.6</v>
      </c>
      <c r="J43" s="71">
        <v>282.10199999999998</v>
      </c>
    </row>
    <row r="44" spans="1:12" outlineLevel="1" x14ac:dyDescent="0.3">
      <c r="A44" s="163" t="s">
        <v>235</v>
      </c>
      <c r="B44" s="163"/>
      <c r="C44" s="46">
        <v>98.9</v>
      </c>
      <c r="D44" s="46">
        <v>157.6</v>
      </c>
      <c r="E44" s="46">
        <v>25.4</v>
      </c>
      <c r="F44" s="46">
        <v>25.4</v>
      </c>
      <c r="G44" s="46">
        <v>61.15</v>
      </c>
      <c r="H44" s="46">
        <v>2.1490000000000022</v>
      </c>
      <c r="I44" s="46">
        <v>-107.3</v>
      </c>
      <c r="J44" s="71">
        <v>0</v>
      </c>
    </row>
    <row r="45" spans="1:12" outlineLevel="1" x14ac:dyDescent="0.3">
      <c r="A45" s="32" t="s">
        <v>34</v>
      </c>
      <c r="B45" s="32"/>
      <c r="C45" s="46">
        <v>2.1</v>
      </c>
      <c r="D45" s="46">
        <v>89.7</v>
      </c>
      <c r="E45" s="46">
        <v>-50.7</v>
      </c>
      <c r="F45" s="46">
        <v>-50.7</v>
      </c>
      <c r="G45" s="46">
        <v>-140.4</v>
      </c>
      <c r="H45" s="46">
        <v>-126.47799999999999</v>
      </c>
      <c r="I45" s="46">
        <v>-10.7</v>
      </c>
      <c r="J45" s="71">
        <v>-79.283000000000001</v>
      </c>
    </row>
    <row r="46" spans="1:12" s="25" customFormat="1" ht="13" x14ac:dyDescent="0.3">
      <c r="A46" s="103" t="s">
        <v>219</v>
      </c>
      <c r="B46" s="103"/>
      <c r="C46" s="104">
        <f t="shared" ref="C46:G46" si="15">IFERROR(C38-C34+C43+C44+C45,"n.a.")</f>
        <v>281.16500000000013</v>
      </c>
      <c r="D46" s="104">
        <f t="shared" si="15"/>
        <v>388.43699999999984</v>
      </c>
      <c r="E46" s="104">
        <f>IFERROR(E38-E34+E43+E44+E45,"n.a.")</f>
        <v>296.55799999999999</v>
      </c>
      <c r="F46" s="104">
        <f t="shared" si="15"/>
        <v>296.55799999999999</v>
      </c>
      <c r="G46" s="104">
        <f t="shared" si="15"/>
        <v>386.83699999999988</v>
      </c>
      <c r="H46" s="104">
        <f>IFERROR(H38-H34+H43+H44+H45,"n.a.")-0.1</f>
        <v>576.29999999999984</v>
      </c>
      <c r="I46" s="104">
        <f>IFERROR(I38-I34+I43+I44+I45,"n.a.")</f>
        <v>514.25900000000001</v>
      </c>
      <c r="J46" s="104">
        <f>IFERROR(J38-J34+J43+J44+J45-0.05,"n.a.")</f>
        <v>245.51400000000001</v>
      </c>
      <c r="K46" s="2"/>
      <c r="L46" s="182"/>
    </row>
    <row r="47" spans="1:12" x14ac:dyDescent="0.3">
      <c r="A47" s="167" t="s">
        <v>220</v>
      </c>
      <c r="B47" s="167"/>
      <c r="C47" s="50">
        <f t="shared" ref="C47:I47" si="16">IFERROR(C46/C7,"n.a.")</f>
        <v>6.2761375520239859E-2</v>
      </c>
      <c r="D47" s="50">
        <f t="shared" si="16"/>
        <v>8.1171321835993931E-2</v>
      </c>
      <c r="E47" s="50">
        <f t="shared" si="16"/>
        <v>5.9592926286412898E-2</v>
      </c>
      <c r="F47" s="50">
        <f t="shared" si="16"/>
        <v>5.9592926286412898E-2</v>
      </c>
      <c r="G47" s="50">
        <f t="shared" si="16"/>
        <v>7.2275233937861186E-2</v>
      </c>
      <c r="H47" s="50">
        <f t="shared" si="16"/>
        <v>0.11094503687002158</v>
      </c>
      <c r="I47" s="50">
        <f t="shared" si="16"/>
        <v>9.6609783896572141E-2</v>
      </c>
      <c r="J47" s="50">
        <f t="shared" ref="J47" si="17">IFERROR(J46/J7,"n.a.")</f>
        <v>5.7067997232069408E-2</v>
      </c>
    </row>
    <row r="48" spans="1:12" x14ac:dyDescent="0.3">
      <c r="C48" s="44"/>
      <c r="D48" s="44"/>
      <c r="E48" s="44"/>
      <c r="F48" s="44"/>
      <c r="G48" s="44"/>
      <c r="H48" s="44"/>
      <c r="I48" s="44"/>
      <c r="J48" s="44"/>
    </row>
    <row r="49" spans="1:12" outlineLevel="1" x14ac:dyDescent="0.3">
      <c r="A49" s="39" t="s">
        <v>35</v>
      </c>
      <c r="B49" s="39"/>
      <c r="C49" s="45">
        <v>297.46800000000002</v>
      </c>
      <c r="D49" s="81">
        <f>-'Cash Flow - FY'!D8</f>
        <v>349.5</v>
      </c>
      <c r="E49" s="81">
        <f>-'Cash Flow - FY'!E8</f>
        <v>340.4</v>
      </c>
      <c r="F49" s="81">
        <f>-'Cash Flow - FY'!F8</f>
        <v>342.3</v>
      </c>
      <c r="G49" s="81">
        <f>-'Cash Flow - FY'!G8</f>
        <v>489.35199999999998</v>
      </c>
      <c r="H49" s="81">
        <f>-'Cash Flow - FY'!H8</f>
        <v>463.44099999999997</v>
      </c>
      <c r="I49" s="81">
        <f>-'Cash Flow - FY'!I8</f>
        <v>390.51100000000002</v>
      </c>
      <c r="J49" s="81">
        <f>-'Cash Flow - FY'!J8</f>
        <v>140.035</v>
      </c>
      <c r="L49" s="182"/>
    </row>
    <row r="50" spans="1:12" s="25" customFormat="1" ht="13" x14ac:dyDescent="0.3">
      <c r="A50" s="42" t="s">
        <v>272</v>
      </c>
      <c r="B50" s="42"/>
      <c r="C50" s="51">
        <f>IFERROR(C14-C49,"n.a.")</f>
        <v>592.25</v>
      </c>
      <c r="D50" s="51">
        <f t="shared" ref="D50:H50" si="18">IFERROR(D14-D49,"n.a.")</f>
        <v>671.85899999999992</v>
      </c>
      <c r="E50" s="51">
        <f t="shared" si="18"/>
        <v>741.90700000000004</v>
      </c>
      <c r="F50" s="51">
        <f t="shared" si="18"/>
        <v>740.00700000000006</v>
      </c>
      <c r="G50" s="51">
        <f t="shared" si="18"/>
        <v>648.34800000000007</v>
      </c>
      <c r="H50" s="51">
        <f t="shared" si="18"/>
        <v>771.25900000000001</v>
      </c>
      <c r="I50" s="51">
        <f t="shared" ref="I50:J50" si="19">IFERROR(I14-I49,"n.a.")</f>
        <v>919.57400000000007</v>
      </c>
      <c r="J50" s="51">
        <f t="shared" si="19"/>
        <v>752.59900000000005</v>
      </c>
      <c r="K50" s="2"/>
    </row>
    <row r="51" spans="1:12" x14ac:dyDescent="0.3">
      <c r="A51" s="168" t="s">
        <v>221</v>
      </c>
      <c r="B51" s="168"/>
      <c r="C51" s="58">
        <f t="shared" ref="C51:I51" si="20">IFERROR(C50/C14,"n.a.")</f>
        <v>0.66566035530359047</v>
      </c>
      <c r="D51" s="58">
        <f t="shared" si="20"/>
        <v>0.65780886054756449</v>
      </c>
      <c r="E51" s="58">
        <f t="shared" si="20"/>
        <v>0.68548665027575362</v>
      </c>
      <c r="F51" s="58">
        <f t="shared" si="20"/>
        <v>0.6837311409794079</v>
      </c>
      <c r="G51" s="58">
        <f t="shared" si="20"/>
        <v>0.56987606574668193</v>
      </c>
      <c r="H51" s="58">
        <f t="shared" si="20"/>
        <v>0.62465295213412164</v>
      </c>
      <c r="I51" s="58">
        <f t="shared" si="20"/>
        <v>0.7019193411114546</v>
      </c>
      <c r="J51" s="58">
        <f t="shared" ref="J51" si="21">IFERROR(J50/J14,"n.a.")</f>
        <v>0.84312159294850975</v>
      </c>
    </row>
    <row r="52" spans="1:12" x14ac:dyDescent="0.3">
      <c r="A52" s="59"/>
      <c r="B52" s="59"/>
      <c r="C52" s="60"/>
      <c r="D52" s="60"/>
      <c r="E52" s="60"/>
      <c r="F52" s="60"/>
      <c r="G52" s="60"/>
      <c r="H52" s="60"/>
      <c r="I52" s="60"/>
      <c r="J52" s="60"/>
    </row>
    <row r="53" spans="1:12" s="25" customFormat="1" ht="13" x14ac:dyDescent="0.3">
      <c r="A53" s="38" t="s">
        <v>59</v>
      </c>
      <c r="B53" s="38"/>
      <c r="C53" s="61">
        <f>'Balance Sheet - FY'!C9</f>
        <v>1038.0159999999996</v>
      </c>
      <c r="D53" s="61">
        <f>'Balance Sheet - FY'!D9</f>
        <v>1240.5170000000005</v>
      </c>
      <c r="E53" s="61">
        <f>'Balance Sheet - FY'!E9</f>
        <v>4960.6549999999997</v>
      </c>
      <c r="F53" s="61">
        <f>'Balance Sheet - FY'!F9</f>
        <v>4912.831000000001</v>
      </c>
      <c r="G53" s="75">
        <f>'Balance Sheet - FY'!G9</f>
        <v>3218.4949999999994</v>
      </c>
      <c r="H53" s="75">
        <f>'Balance Sheet - FY'!H9</f>
        <v>3180.1300000000006</v>
      </c>
      <c r="I53" s="75">
        <f>'Balance Sheet - FY'!I9</f>
        <v>3507.2249999999999</v>
      </c>
      <c r="J53" s="75">
        <f>'Balance Sheet - FY'!J9</f>
        <v>3258.3750000000005</v>
      </c>
      <c r="K53" s="2"/>
    </row>
    <row r="54" spans="1:12" x14ac:dyDescent="0.3">
      <c r="A54" s="231" t="s">
        <v>326</v>
      </c>
      <c r="B54" s="57"/>
      <c r="C54" s="62">
        <f t="shared" ref="C54:H54" si="22">IFERROR(C53/C11,"n.a.")</f>
        <v>1.1666797794357309</v>
      </c>
      <c r="D54" s="62">
        <f t="shared" si="22"/>
        <v>1.214574894821508</v>
      </c>
      <c r="E54" s="62">
        <f t="shared" si="22"/>
        <v>4.5834084044545582</v>
      </c>
      <c r="F54" s="62">
        <f t="shared" si="22"/>
        <v>4.5392213115132778</v>
      </c>
      <c r="G54" s="62">
        <f t="shared" si="22"/>
        <v>2.7389115819930212</v>
      </c>
      <c r="H54" s="191">
        <f t="shared" si="22"/>
        <v>2.4862246892346183</v>
      </c>
      <c r="I54" s="191">
        <v>2.36</v>
      </c>
      <c r="J54" s="191">
        <f>IFERROR(J53/J14,"n.a.")</f>
        <v>3.6502922810468799</v>
      </c>
    </row>
    <row r="55" spans="1:12" x14ac:dyDescent="0.3">
      <c r="A55" s="59"/>
      <c r="B55" s="59"/>
      <c r="C55" s="60"/>
      <c r="D55" s="60"/>
      <c r="E55" s="60"/>
      <c r="F55" s="60"/>
      <c r="G55" s="60"/>
      <c r="H55" s="60"/>
      <c r="I55" s="60"/>
      <c r="J55" s="60"/>
    </row>
    <row r="56" spans="1:12" s="25" customFormat="1" ht="13" x14ac:dyDescent="0.3">
      <c r="A56" s="42" t="s">
        <v>23</v>
      </c>
      <c r="B56" s="42"/>
      <c r="C56" s="43">
        <v>180.61199999999999</v>
      </c>
      <c r="D56" s="43">
        <v>187.06700000000001</v>
      </c>
      <c r="E56" s="43">
        <v>208.614</v>
      </c>
      <c r="F56" s="43">
        <v>208.614</v>
      </c>
      <c r="G56" s="43">
        <v>221.5</v>
      </c>
      <c r="H56" s="43">
        <v>219</v>
      </c>
      <c r="I56" s="43">
        <v>232.5</v>
      </c>
      <c r="J56" s="67">
        <v>194.6</v>
      </c>
      <c r="K56" s="2"/>
    </row>
    <row r="57" spans="1:12" x14ac:dyDescent="0.3">
      <c r="A57" s="64" t="s">
        <v>119</v>
      </c>
      <c r="B57" s="64"/>
      <c r="C57" s="52">
        <v>174.5</v>
      </c>
      <c r="D57" s="52">
        <v>176.5</v>
      </c>
      <c r="E57" s="52">
        <v>191</v>
      </c>
      <c r="F57" s="52">
        <v>191</v>
      </c>
      <c r="G57" s="52">
        <v>199.9</v>
      </c>
      <c r="H57" s="52">
        <v>202.9</v>
      </c>
      <c r="I57" s="52">
        <v>215.7</v>
      </c>
      <c r="J57" s="70">
        <v>182.5</v>
      </c>
    </row>
    <row r="58" spans="1:12" x14ac:dyDescent="0.3">
      <c r="A58" s="169" t="s">
        <v>222</v>
      </c>
      <c r="B58" s="169"/>
      <c r="C58" s="53">
        <f t="shared" ref="C58:I59" si="23">IFERROR(C56/C7,"n.a.")</f>
        <v>4.0316033487317257E-2</v>
      </c>
      <c r="D58" s="53">
        <f t="shared" si="23"/>
        <v>3.9091218555116748E-2</v>
      </c>
      <c r="E58" s="53">
        <f t="shared" si="23"/>
        <v>4.1920699236957834E-2</v>
      </c>
      <c r="F58" s="53">
        <f t="shared" si="23"/>
        <v>4.1920699236957834E-2</v>
      </c>
      <c r="G58" s="53">
        <f t="shared" si="23"/>
        <v>4.1384263442318749E-2</v>
      </c>
      <c r="H58" s="53">
        <f t="shared" si="23"/>
        <v>4.2160269086473592E-2</v>
      </c>
      <c r="I58" s="53">
        <f t="shared" si="23"/>
        <v>4.3677941963005062E-2</v>
      </c>
      <c r="J58" s="53">
        <f t="shared" ref="J58" si="24">IFERROR(J56/J7,"n.a.")</f>
        <v>4.523339712342557E-2</v>
      </c>
    </row>
    <row r="59" spans="1:12" x14ac:dyDescent="0.3">
      <c r="A59" s="169" t="s">
        <v>223</v>
      </c>
      <c r="B59" s="169"/>
      <c r="C59" s="53">
        <f t="shared" si="23"/>
        <v>8.5759626333758776E-2</v>
      </c>
      <c r="D59" s="53">
        <f t="shared" si="23"/>
        <v>7.1052376269230944E-2</v>
      </c>
      <c r="E59" s="53">
        <f t="shared" si="23"/>
        <v>6.9332268544566852E-2</v>
      </c>
      <c r="F59" s="53">
        <f t="shared" si="23"/>
        <v>6.9332268544566852E-2</v>
      </c>
      <c r="G59" s="53">
        <f t="shared" si="23"/>
        <v>6.4919164436119087E-2</v>
      </c>
      <c r="H59" s="53">
        <f t="shared" si="23"/>
        <v>6.1300649321614199E-2</v>
      </c>
      <c r="I59" s="53">
        <f t="shared" si="23"/>
        <v>6.0933459927280983E-2</v>
      </c>
      <c r="J59" s="53">
        <f t="shared" ref="J59" si="25">IFERROR(J57/J8,"n.a.")</f>
        <v>6.0234621276056423E-2</v>
      </c>
    </row>
    <row r="61" spans="1:12" x14ac:dyDescent="0.3">
      <c r="F61" s="185"/>
      <c r="G61" s="185"/>
      <c r="H61" s="185"/>
      <c r="I61" s="185"/>
      <c r="J61" s="185"/>
    </row>
    <row r="62" spans="1:12" ht="25.5" customHeight="1" x14ac:dyDescent="0.3">
      <c r="A62" s="260" t="s">
        <v>224</v>
      </c>
      <c r="B62" s="260"/>
      <c r="C62" s="260"/>
      <c r="D62" s="260"/>
      <c r="E62" s="260"/>
      <c r="F62" s="260"/>
      <c r="G62" s="260"/>
      <c r="H62" s="260"/>
      <c r="I62" s="260"/>
      <c r="J62" s="260"/>
      <c r="K62" s="260"/>
    </row>
    <row r="63" spans="1:12" ht="25.5" customHeight="1" x14ac:dyDescent="0.3">
      <c r="A63" s="260" t="s">
        <v>246</v>
      </c>
      <c r="B63" s="260"/>
      <c r="C63" s="260"/>
      <c r="D63" s="260"/>
      <c r="E63" s="260"/>
      <c r="F63" s="260"/>
      <c r="G63" s="260"/>
      <c r="H63" s="260"/>
      <c r="I63" s="260"/>
      <c r="J63" s="260"/>
      <c r="K63" s="260"/>
    </row>
    <row r="64" spans="1:12" ht="25.5" customHeight="1" x14ac:dyDescent="0.3">
      <c r="A64" s="260" t="s">
        <v>247</v>
      </c>
      <c r="B64" s="260"/>
      <c r="C64" s="260"/>
      <c r="D64" s="260"/>
      <c r="E64" s="260"/>
      <c r="F64" s="260"/>
      <c r="G64" s="260"/>
      <c r="H64" s="260"/>
      <c r="I64" s="260"/>
      <c r="J64" s="260"/>
      <c r="K64" s="260"/>
    </row>
    <row r="65" spans="1:11" ht="12.75" customHeight="1" x14ac:dyDescent="0.3">
      <c r="A65" s="260" t="s">
        <v>225</v>
      </c>
      <c r="B65" s="260"/>
      <c r="C65" s="260"/>
      <c r="D65" s="260"/>
      <c r="E65" s="260"/>
      <c r="F65" s="260"/>
      <c r="G65" s="260"/>
      <c r="H65" s="260"/>
      <c r="I65" s="260"/>
      <c r="J65" s="260"/>
      <c r="K65" s="260"/>
    </row>
    <row r="66" spans="1:11" x14ac:dyDescent="0.3">
      <c r="A66" s="260" t="s">
        <v>226</v>
      </c>
      <c r="B66" s="260"/>
      <c r="C66" s="260"/>
      <c r="D66" s="260"/>
      <c r="E66" s="260"/>
      <c r="F66" s="260"/>
      <c r="G66" s="260"/>
      <c r="H66" s="260"/>
      <c r="I66" s="260"/>
      <c r="J66" s="260"/>
      <c r="K66" s="260"/>
    </row>
    <row r="67" spans="1:11" ht="25.5" customHeight="1" x14ac:dyDescent="0.3">
      <c r="A67" s="260" t="s">
        <v>227</v>
      </c>
      <c r="B67" s="260"/>
      <c r="C67" s="260"/>
      <c r="D67" s="260"/>
      <c r="E67" s="260"/>
      <c r="F67" s="260"/>
      <c r="G67" s="260"/>
      <c r="H67" s="260"/>
      <c r="I67" s="260"/>
      <c r="J67" s="260"/>
      <c r="K67" s="260"/>
    </row>
    <row r="68" spans="1:11" x14ac:dyDescent="0.3">
      <c r="A68" s="260" t="s">
        <v>353</v>
      </c>
      <c r="B68" s="260"/>
      <c r="C68" s="260"/>
      <c r="D68" s="260"/>
      <c r="E68" s="260"/>
      <c r="F68" s="260"/>
      <c r="G68" s="260"/>
      <c r="H68" s="260"/>
      <c r="I68" s="260"/>
      <c r="J68" s="260"/>
      <c r="K68" s="260"/>
    </row>
    <row r="70" spans="1:11" x14ac:dyDescent="0.3">
      <c r="C70" s="185"/>
      <c r="D70" s="185"/>
      <c r="E70" s="185"/>
      <c r="F70" s="185"/>
      <c r="G70" s="185"/>
      <c r="H70" s="185"/>
      <c r="I70" s="185"/>
      <c r="J70" s="185"/>
    </row>
  </sheetData>
  <mergeCells count="7">
    <mergeCell ref="A67:K67"/>
    <mergeCell ref="A68:K68"/>
    <mergeCell ref="A63:K63"/>
    <mergeCell ref="A62:K62"/>
    <mergeCell ref="A64:K64"/>
    <mergeCell ref="A65:K65"/>
    <mergeCell ref="A66:K66"/>
  </mergeCells>
  <pageMargins left="0" right="0" top="0" bottom="0" header="0" footer="0"/>
  <pageSetup paperSize="9" scale="68" orientation="portrait" r:id="rId1"/>
  <ignoredErrors>
    <ignoredError sqref="H46 I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R55"/>
  <sheetViews>
    <sheetView showGridLines="0" zoomScale="90" zoomScaleNormal="90" zoomScaleSheetLayoutView="100" workbookViewId="0">
      <pane xSplit="2" ySplit="6" topLeftCell="Q7" activePane="bottomRight" state="frozen"/>
      <selection pane="topRight" activeCell="C1" sqref="C1"/>
      <selection pane="bottomLeft" activeCell="A7" sqref="A7"/>
      <selection pane="bottomRight"/>
    </sheetView>
  </sheetViews>
  <sheetFormatPr defaultColWidth="9.58203125" defaultRowHeight="12.5" outlineLevelRow="2" outlineLevelCol="2" x14ac:dyDescent="0.3"/>
  <cols>
    <col min="1" max="1" width="50.58203125" style="2" customWidth="1"/>
    <col min="2" max="2" width="4.58203125" style="41" customWidth="1"/>
    <col min="3" max="4" width="9.58203125" style="41" hidden="1" customWidth="1" outlineLevel="1"/>
    <col min="5" max="5" width="9.58203125" style="41" hidden="1" customWidth="1" outlineLevel="2"/>
    <col min="6" max="6" width="9.58203125" style="41" hidden="1" customWidth="1" outlineLevel="1"/>
    <col min="7" max="7" width="9.58203125" style="41" hidden="1" customWidth="1" outlineLevel="2"/>
    <col min="8" max="8" width="9.58203125" style="41" hidden="1" customWidth="1" outlineLevel="1"/>
    <col min="9" max="9" width="9.58203125" style="41" hidden="1" customWidth="1" outlineLevel="2"/>
    <col min="10" max="11" width="9.58203125" style="41" hidden="1" customWidth="1" outlineLevel="1"/>
    <col min="12" max="12" width="9.58203125" style="41" hidden="1" customWidth="1" outlineLevel="2"/>
    <col min="13" max="13" width="9.58203125" style="41" hidden="1" customWidth="1" outlineLevel="1"/>
    <col min="14" max="14" width="9.58203125" style="41" hidden="1" customWidth="1" outlineLevel="2"/>
    <col min="15" max="15" width="9.58203125" style="41" hidden="1" customWidth="1" outlineLevel="1"/>
    <col min="16" max="16" width="9.58203125" style="41" hidden="1" customWidth="1" outlineLevel="2"/>
    <col min="17" max="17" width="9.58203125" style="41" customWidth="1" collapsed="1"/>
    <col min="18" max="18" width="9.58203125" style="41" customWidth="1"/>
    <col min="19" max="19" width="9.58203125" style="41" hidden="1" customWidth="1" outlineLevel="2"/>
    <col min="20" max="20" width="9.58203125" style="41" customWidth="1" collapsed="1"/>
    <col min="21" max="21" width="9.58203125" style="41" hidden="1" customWidth="1" outlineLevel="1"/>
    <col min="22" max="22" width="9.58203125" style="41" customWidth="1" collapsed="1"/>
    <col min="23" max="23" width="9.58203125" style="41" hidden="1" customWidth="1" outlineLevel="1"/>
    <col min="24" max="24" width="9.58203125" style="41" customWidth="1" collapsed="1"/>
    <col min="25" max="25" width="9.58203125" style="41" customWidth="1"/>
    <col min="26" max="26" width="9.58203125" style="41" hidden="1" customWidth="1" outlineLevel="1"/>
    <col min="27" max="27" width="9.58203125" style="41" customWidth="1" collapsed="1"/>
    <col min="28" max="28" width="9.58203125" style="41" hidden="1" customWidth="1" outlineLevel="1"/>
    <col min="29" max="29" width="9.58203125" style="41" customWidth="1" collapsed="1"/>
    <col min="30" max="30" width="9.58203125" style="41" hidden="1" customWidth="1" outlineLevel="1"/>
    <col min="31" max="31" width="9.58203125" style="41" customWidth="1" collapsed="1"/>
    <col min="32" max="32" width="9.58203125" style="41" customWidth="1"/>
    <col min="33" max="33" width="9.58203125" style="41" hidden="1" customWidth="1" outlineLevel="1"/>
    <col min="34" max="34" width="9.58203125" style="41" customWidth="1" collapsed="1"/>
    <col min="35" max="35" width="9.58203125" style="41" hidden="1" customWidth="1" outlineLevel="1"/>
    <col min="36" max="36" width="9.58203125" style="41" customWidth="1" collapsed="1"/>
    <col min="37" max="37" width="9.58203125" style="41" hidden="1" customWidth="1" outlineLevel="1"/>
    <col min="38" max="38" width="2.58203125" style="2" customWidth="1" collapsed="1"/>
    <col min="39" max="16384" width="9.58203125" style="2"/>
  </cols>
  <sheetData>
    <row r="1" spans="1:43" s="9" customFormat="1" ht="27.75" customHeight="1" x14ac:dyDescent="0.3">
      <c r="A1" s="9" t="s">
        <v>195</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43" x14ac:dyDescent="0.3">
      <c r="A2" s="33" t="s">
        <v>192</v>
      </c>
      <c r="Y2" s="185"/>
      <c r="Z2" s="185"/>
      <c r="AC2" s="185"/>
      <c r="AF2" s="185"/>
      <c r="AG2" s="185"/>
      <c r="AH2" s="185"/>
      <c r="AI2" s="185"/>
      <c r="AJ2" s="185"/>
      <c r="AK2" s="185"/>
    </row>
    <row r="4" spans="1:43" s="25" customFormat="1" ht="13.5" thickBot="1" x14ac:dyDescent="0.35">
      <c r="A4" s="12" t="s">
        <v>149</v>
      </c>
      <c r="B4" s="14"/>
      <c r="C4" s="14" t="s">
        <v>164</v>
      </c>
      <c r="D4" s="14" t="s">
        <v>171</v>
      </c>
      <c r="E4" s="14" t="s">
        <v>163</v>
      </c>
      <c r="F4" s="14" t="s">
        <v>172</v>
      </c>
      <c r="G4" s="14" t="s">
        <v>121</v>
      </c>
      <c r="H4" s="14" t="s">
        <v>170</v>
      </c>
      <c r="I4" s="14" t="s">
        <v>26</v>
      </c>
      <c r="J4" s="14" t="s">
        <v>168</v>
      </c>
      <c r="K4" s="176" t="s">
        <v>167</v>
      </c>
      <c r="L4" s="176" t="s">
        <v>166</v>
      </c>
      <c r="M4" s="176" t="s">
        <v>165</v>
      </c>
      <c r="N4" s="14" t="s">
        <v>122</v>
      </c>
      <c r="O4" s="14" t="s">
        <v>169</v>
      </c>
      <c r="P4" s="14" t="s">
        <v>162</v>
      </c>
      <c r="Q4" s="14" t="s">
        <v>236</v>
      </c>
      <c r="R4" s="176" t="s">
        <v>249</v>
      </c>
      <c r="S4" s="176" t="s">
        <v>252</v>
      </c>
      <c r="T4" s="176" t="s">
        <v>264</v>
      </c>
      <c r="U4" s="176" t="s">
        <v>263</v>
      </c>
      <c r="V4" s="14" t="s">
        <v>266</v>
      </c>
      <c r="W4" s="14" t="s">
        <v>265</v>
      </c>
      <c r="X4" s="14" t="s">
        <v>275</v>
      </c>
      <c r="Y4" s="176" t="s">
        <v>302</v>
      </c>
      <c r="Z4" s="176" t="s">
        <v>303</v>
      </c>
      <c r="AA4" s="176" t="s">
        <v>307</v>
      </c>
      <c r="AB4" s="176" t="s">
        <v>308</v>
      </c>
      <c r="AC4" s="14" t="s">
        <v>310</v>
      </c>
      <c r="AD4" s="14" t="s">
        <v>309</v>
      </c>
      <c r="AE4" s="14" t="s">
        <v>324</v>
      </c>
      <c r="AF4" s="176" t="s">
        <v>333</v>
      </c>
      <c r="AG4" s="176" t="s">
        <v>334</v>
      </c>
      <c r="AH4" s="176" t="s">
        <v>336</v>
      </c>
      <c r="AI4" s="176" t="s">
        <v>337</v>
      </c>
      <c r="AJ4" s="14" t="s">
        <v>339</v>
      </c>
      <c r="AK4" s="14" t="s">
        <v>338</v>
      </c>
    </row>
    <row r="5" spans="1:43" x14ac:dyDescent="0.3">
      <c r="C5" s="41" t="s">
        <v>191</v>
      </c>
      <c r="D5" s="41" t="s">
        <v>191</v>
      </c>
      <c r="E5" s="41" t="s">
        <v>178</v>
      </c>
      <c r="F5" s="41" t="s">
        <v>191</v>
      </c>
      <c r="G5" s="41" t="s">
        <v>191</v>
      </c>
      <c r="H5" s="41" t="s">
        <v>191</v>
      </c>
      <c r="I5" s="41" t="s">
        <v>191</v>
      </c>
      <c r="J5" s="41" t="s">
        <v>177</v>
      </c>
      <c r="K5" s="177" t="s">
        <v>255</v>
      </c>
      <c r="L5" s="177" t="s">
        <v>178</v>
      </c>
      <c r="M5" s="177" t="s">
        <v>256</v>
      </c>
      <c r="N5" s="41" t="s">
        <v>177</v>
      </c>
      <c r="O5" s="41" t="s">
        <v>177</v>
      </c>
      <c r="P5" s="41" t="s">
        <v>177</v>
      </c>
      <c r="Q5" s="41" t="s">
        <v>177</v>
      </c>
      <c r="R5" s="41" t="s">
        <v>177</v>
      </c>
      <c r="S5" s="41" t="s">
        <v>177</v>
      </c>
      <c r="T5" s="41" t="s">
        <v>177</v>
      </c>
      <c r="U5" s="41" t="s">
        <v>177</v>
      </c>
      <c r="V5" s="41" t="s">
        <v>177</v>
      </c>
      <c r="W5" s="41" t="s">
        <v>177</v>
      </c>
      <c r="X5" s="41" t="s">
        <v>177</v>
      </c>
      <c r="Y5" s="41" t="s">
        <v>177</v>
      </c>
      <c r="Z5" s="41" t="s">
        <v>177</v>
      </c>
      <c r="AA5" s="41" t="s">
        <v>177</v>
      </c>
      <c r="AB5" s="41" t="s">
        <v>177</v>
      </c>
      <c r="AC5" s="41" t="s">
        <v>177</v>
      </c>
      <c r="AD5" s="41" t="s">
        <v>177</v>
      </c>
      <c r="AE5" s="41" t="s">
        <v>177</v>
      </c>
      <c r="AF5" s="41" t="s">
        <v>177</v>
      </c>
      <c r="AG5" s="41" t="s">
        <v>177</v>
      </c>
      <c r="AH5" s="41" t="s">
        <v>177</v>
      </c>
      <c r="AI5" s="41" t="s">
        <v>177</v>
      </c>
      <c r="AJ5" s="41" t="s">
        <v>177</v>
      </c>
      <c r="AK5" s="41" t="s">
        <v>177</v>
      </c>
    </row>
    <row r="7" spans="1:43" s="25" customFormat="1" ht="13" x14ac:dyDescent="0.3">
      <c r="A7" s="103" t="s">
        <v>189</v>
      </c>
      <c r="B7" s="104"/>
      <c r="C7" s="105">
        <v>1180.9000000000001</v>
      </c>
      <c r="D7" s="106">
        <f>E7-C7</f>
        <v>1246</v>
      </c>
      <c r="E7" s="105">
        <v>2426.9</v>
      </c>
      <c r="F7" s="106">
        <f>G7-E7</f>
        <v>1279.5999999999999</v>
      </c>
      <c r="G7" s="105">
        <v>3706.5</v>
      </c>
      <c r="H7" s="106">
        <f>I7-G7</f>
        <v>1269.8959999999997</v>
      </c>
      <c r="I7" s="107">
        <f>'Fin. Highlights - FY'!F7</f>
        <v>4976.3959999999997</v>
      </c>
      <c r="J7" s="105">
        <v>1339.3000000000002</v>
      </c>
      <c r="K7" s="106">
        <f>L7-J7</f>
        <v>1345.9999999999995</v>
      </c>
      <c r="L7" s="105">
        <v>2685.2999999999997</v>
      </c>
      <c r="M7" s="106">
        <f>N7-L7</f>
        <v>1353.2000000000003</v>
      </c>
      <c r="N7" s="105">
        <v>4038.5</v>
      </c>
      <c r="O7" s="106">
        <f>P7-N7</f>
        <v>1313.7759999999998</v>
      </c>
      <c r="P7" s="107">
        <f>'Fin. Highlights - FY'!G7</f>
        <v>5352.2759999999998</v>
      </c>
      <c r="Q7" s="105">
        <v>1310.2639999999999</v>
      </c>
      <c r="R7" s="106">
        <f>IFERROR(S7-Q7,"n.a.")</f>
        <v>1320.0360000000003</v>
      </c>
      <c r="S7" s="105">
        <v>2630.3</v>
      </c>
      <c r="T7" s="106">
        <f>IFERROR(U7-S7,"n.a.")</f>
        <v>1294.9000000000001</v>
      </c>
      <c r="U7" s="105">
        <v>3925.2000000000003</v>
      </c>
      <c r="V7" s="106">
        <f>IFERROR(W7-U7,"n.a.")</f>
        <v>1269.2640000000006</v>
      </c>
      <c r="W7" s="107">
        <f>'Fin. Highlights - FY'!H7</f>
        <v>5194.4640000000009</v>
      </c>
      <c r="X7" s="105">
        <v>1313.8040000000001</v>
      </c>
      <c r="Y7" s="106">
        <f>IFERROR(Z7-X7,"n.a.")</f>
        <v>1341.0389999999998</v>
      </c>
      <c r="Z7" s="105">
        <v>2654.8429999999998</v>
      </c>
      <c r="AA7" s="106">
        <f>IFERROR(AB7-Z7,"n.a.")</f>
        <v>1381.5410000000002</v>
      </c>
      <c r="AB7" s="105">
        <v>4036.384</v>
      </c>
      <c r="AC7" s="106">
        <f>IFERROR(AD7-AB7,"n.a.")</f>
        <v>1286.6689999999999</v>
      </c>
      <c r="AD7" s="107">
        <f>'Fin. Highlights - FY'!I7</f>
        <v>5323.0529999999999</v>
      </c>
      <c r="AE7" s="105">
        <v>1051.5719999999999</v>
      </c>
      <c r="AF7" s="106">
        <f>IFERROR(AG7-AE7,"n.a.")</f>
        <v>764.8570000000002</v>
      </c>
      <c r="AG7" s="105">
        <v>1816.4290000000001</v>
      </c>
      <c r="AH7" s="106">
        <f>IFERROR(AI7-AG7,"n.a.")</f>
        <v>1277.4009999999998</v>
      </c>
      <c r="AI7" s="105">
        <v>3093.83</v>
      </c>
      <c r="AJ7" s="106">
        <f>IFERROR(AK7-AI7,"n.a.")</f>
        <v>1208.3010000000004</v>
      </c>
      <c r="AK7" s="107">
        <f>'Fin. Highlights - FY'!J7</f>
        <v>4302.1310000000003</v>
      </c>
      <c r="AM7" s="182"/>
      <c r="AN7" s="224"/>
      <c r="AO7" s="224"/>
    </row>
    <row r="8" spans="1:43" ht="13" x14ac:dyDescent="0.3">
      <c r="A8" s="64" t="s">
        <v>14</v>
      </c>
      <c r="B8" s="70"/>
      <c r="C8" s="70">
        <v>663.4</v>
      </c>
      <c r="D8" s="82">
        <f>E8-C8</f>
        <v>707.50000000000011</v>
      </c>
      <c r="E8" s="70">
        <v>1370.9</v>
      </c>
      <c r="F8" s="82">
        <f>G8-E8</f>
        <v>705.69999999999982</v>
      </c>
      <c r="G8" s="70">
        <v>2076.6</v>
      </c>
      <c r="H8" s="82">
        <f>I8-G8</f>
        <v>678.25</v>
      </c>
      <c r="I8" s="76">
        <f>'Fin. Highlights - FY'!F8</f>
        <v>2754.85</v>
      </c>
      <c r="J8" s="70">
        <v>775.38</v>
      </c>
      <c r="K8" s="82">
        <f>L8-J8</f>
        <v>786.89</v>
      </c>
      <c r="L8" s="70">
        <v>1562.27</v>
      </c>
      <c r="M8" s="82">
        <f>N8-L8</f>
        <v>782.52799999999979</v>
      </c>
      <c r="N8" s="70">
        <v>2344.7979999999998</v>
      </c>
      <c r="O8" s="82">
        <f>P8-N8</f>
        <v>734.41600000000017</v>
      </c>
      <c r="P8" s="76">
        <f>'Fin. Highlights - FY'!G8</f>
        <v>3079.2139999999999</v>
      </c>
      <c r="Q8" s="70">
        <v>833.87400000000002</v>
      </c>
      <c r="R8" s="82">
        <f>IFERROR(S8-Q8,"n.a.")</f>
        <v>849.82600000000002</v>
      </c>
      <c r="S8" s="70">
        <v>1683.7</v>
      </c>
      <c r="T8" s="82">
        <f>IFERROR(U8-S8,"n.a.")</f>
        <v>846.14200000000005</v>
      </c>
      <c r="U8" s="70">
        <v>2529.8420000000001</v>
      </c>
      <c r="V8" s="82">
        <f>IFERROR(W8-U8,"n.a.")</f>
        <v>780.07400000000007</v>
      </c>
      <c r="W8" s="76">
        <f>'Fin. Highlights - FY'!H8</f>
        <v>3309.9160000000002</v>
      </c>
      <c r="X8" s="70">
        <v>895.024</v>
      </c>
      <c r="Y8" s="82">
        <f>IFERROR(Z8-X8,"n.a.")</f>
        <v>892.60600000000011</v>
      </c>
      <c r="Z8" s="70">
        <v>1787.63</v>
      </c>
      <c r="AA8" s="82">
        <f>IFERROR(AB8-Z8,"n.a.")</f>
        <v>932.28800000000001</v>
      </c>
      <c r="AB8" s="70">
        <v>2719.9180000000001</v>
      </c>
      <c r="AC8" s="82">
        <f>IFERROR(AD8-AB8,"n.a.")</f>
        <v>820.00900000000001</v>
      </c>
      <c r="AD8" s="76">
        <f>'Fin. Highlights - FY'!I8</f>
        <v>3539.9270000000001</v>
      </c>
      <c r="AE8" s="70">
        <v>732.23599999999999</v>
      </c>
      <c r="AF8" s="82">
        <f>IFERROR(AG8-AE8,"n.a.")</f>
        <v>553.44099999999992</v>
      </c>
      <c r="AG8" s="70">
        <v>1285.6769999999999</v>
      </c>
      <c r="AH8" s="82">
        <f>IFERROR(AI8-AG8,"n.a.")</f>
        <v>917.67699999999991</v>
      </c>
      <c r="AI8" s="70">
        <v>2203.3539999999998</v>
      </c>
      <c r="AJ8" s="82">
        <f>IFERROR(AK8-AI8,"n.a.")</f>
        <v>826.46500000000015</v>
      </c>
      <c r="AK8" s="76">
        <f>'Fin. Highlights - FY'!J8</f>
        <v>3029.819</v>
      </c>
      <c r="AL8" s="25"/>
      <c r="AM8" s="182"/>
      <c r="AN8" s="182"/>
      <c r="AO8" s="25"/>
      <c r="AP8" s="25"/>
    </row>
    <row r="9" spans="1:43" ht="13" x14ac:dyDescent="0.3">
      <c r="A9" s="32" t="s">
        <v>13</v>
      </c>
      <c r="B9" s="71"/>
      <c r="C9" s="83">
        <f t="shared" ref="C9:U9" si="0">IFERROR(C7-C8,"n.a.")</f>
        <v>517.50000000000011</v>
      </c>
      <c r="D9" s="83">
        <f t="shared" si="0"/>
        <v>538.49999999999989</v>
      </c>
      <c r="E9" s="83">
        <f t="shared" si="0"/>
        <v>1056</v>
      </c>
      <c r="F9" s="83">
        <f t="shared" si="0"/>
        <v>573.90000000000009</v>
      </c>
      <c r="G9" s="83">
        <f t="shared" si="0"/>
        <v>1629.9</v>
      </c>
      <c r="H9" s="83">
        <f t="shared" si="0"/>
        <v>591.64599999999973</v>
      </c>
      <c r="I9" s="83">
        <f t="shared" si="0"/>
        <v>2221.5459999999998</v>
      </c>
      <c r="J9" s="83">
        <f t="shared" si="0"/>
        <v>563.92000000000019</v>
      </c>
      <c r="K9" s="83">
        <f t="shared" si="0"/>
        <v>559.10999999999956</v>
      </c>
      <c r="L9" s="83">
        <f t="shared" si="0"/>
        <v>1123.0299999999997</v>
      </c>
      <c r="M9" s="83">
        <f t="shared" si="0"/>
        <v>570.67200000000048</v>
      </c>
      <c r="N9" s="83">
        <f t="shared" si="0"/>
        <v>1693.7020000000002</v>
      </c>
      <c r="O9" s="83">
        <f t="shared" si="0"/>
        <v>579.35999999999967</v>
      </c>
      <c r="P9" s="83">
        <f t="shared" si="0"/>
        <v>2273.0619999999999</v>
      </c>
      <c r="Q9" s="83">
        <f t="shared" si="0"/>
        <v>476.38999999999987</v>
      </c>
      <c r="R9" s="83">
        <f t="shared" si="0"/>
        <v>470.21000000000026</v>
      </c>
      <c r="S9" s="83">
        <f t="shared" si="0"/>
        <v>946.60000000000014</v>
      </c>
      <c r="T9" s="83">
        <f t="shared" si="0"/>
        <v>448.75800000000004</v>
      </c>
      <c r="U9" s="83">
        <f t="shared" si="0"/>
        <v>1395.3580000000002</v>
      </c>
      <c r="V9" s="83">
        <f>IFERROR(V7-V8,"n.a.")+0.1</f>
        <v>489.29000000000053</v>
      </c>
      <c r="W9" s="83">
        <f>IFERROR(W7-W8,"n.a.")+0.1</f>
        <v>1884.6480000000006</v>
      </c>
      <c r="X9" s="83">
        <f t="shared" ref="X9:AB9" si="1">IFERROR(X7-X8,"n.a.")</f>
        <v>418.78000000000009</v>
      </c>
      <c r="Y9" s="83">
        <f t="shared" si="1"/>
        <v>448.43299999999965</v>
      </c>
      <c r="Z9" s="83">
        <f t="shared" si="1"/>
        <v>867.21299999999974</v>
      </c>
      <c r="AA9" s="83">
        <f t="shared" si="1"/>
        <v>449.25300000000016</v>
      </c>
      <c r="AB9" s="83">
        <f t="shared" si="1"/>
        <v>1316.4659999999999</v>
      </c>
      <c r="AC9" s="83">
        <f>IFERROR(AC7-AC8,"n.a.")</f>
        <v>466.65999999999985</v>
      </c>
      <c r="AD9" s="83">
        <f>IFERROR(AD7-AD8,"n.a.")</f>
        <v>1783.1259999999997</v>
      </c>
      <c r="AE9" s="83">
        <f t="shared" ref="AE9:AI9" si="2">IFERROR(AE7-AE8,"n.a.")</f>
        <v>319.3359999999999</v>
      </c>
      <c r="AF9" s="83">
        <f t="shared" si="2"/>
        <v>211.41600000000028</v>
      </c>
      <c r="AG9" s="83">
        <f t="shared" si="2"/>
        <v>530.75200000000018</v>
      </c>
      <c r="AH9" s="83">
        <f t="shared" si="2"/>
        <v>359.72399999999993</v>
      </c>
      <c r="AI9" s="83">
        <f t="shared" si="2"/>
        <v>890.47600000000011</v>
      </c>
      <c r="AJ9" s="83">
        <f>IFERROR(AJ7-AJ8,"n.a.")</f>
        <v>381.83600000000024</v>
      </c>
      <c r="AK9" s="83">
        <f>IFERROR(AK7-AK8,"n.a.")</f>
        <v>1272.3120000000004</v>
      </c>
      <c r="AL9" s="25"/>
      <c r="AM9" s="182"/>
      <c r="AN9" s="178"/>
      <c r="AO9" s="183"/>
      <c r="AP9" s="25"/>
    </row>
    <row r="10" spans="1:43" ht="13" x14ac:dyDescent="0.3">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25"/>
      <c r="AM10" s="25"/>
      <c r="AN10" s="25"/>
      <c r="AO10" s="25"/>
      <c r="AP10" s="25"/>
    </row>
    <row r="11" spans="1:43" s="25" customFormat="1" ht="13" hidden="1" outlineLevel="2" x14ac:dyDescent="0.3">
      <c r="A11" s="42" t="s">
        <v>250</v>
      </c>
      <c r="B11" s="48"/>
      <c r="C11" s="67">
        <v>261.5</v>
      </c>
      <c r="D11" s="80">
        <f>E11-C11</f>
        <v>268.39999999999998</v>
      </c>
      <c r="E11" s="67">
        <v>529.9</v>
      </c>
      <c r="F11" s="80">
        <f>G11-E11</f>
        <v>271.5</v>
      </c>
      <c r="G11" s="67">
        <v>801.4</v>
      </c>
      <c r="H11" s="80">
        <f>I11-G11</f>
        <v>280.90700000000004</v>
      </c>
      <c r="I11" s="75">
        <f>'Fin. Highlights - FY'!F11</f>
        <v>1082.307</v>
      </c>
      <c r="J11" s="67">
        <v>281.70000000000005</v>
      </c>
      <c r="K11" s="80">
        <f>L11-J11</f>
        <v>285.09999999999991</v>
      </c>
      <c r="L11" s="67">
        <v>566.79999999999995</v>
      </c>
      <c r="M11" s="80">
        <f>N11-L11</f>
        <v>298.90000000000009</v>
      </c>
      <c r="N11" s="67">
        <v>865.7</v>
      </c>
      <c r="O11" s="80">
        <f>P11-N11</f>
        <v>309.40000000000009</v>
      </c>
      <c r="P11" s="75">
        <f>'Fin. Highlights - FY'!G11</f>
        <v>1175.1000000000001</v>
      </c>
      <c r="Q11" s="67">
        <v>298</v>
      </c>
      <c r="R11" s="80">
        <f>IFERROR(S11-Q11,"n.a.")</f>
        <v>310.29999999999995</v>
      </c>
      <c r="S11" s="67">
        <v>608.29999999999995</v>
      </c>
      <c r="T11" s="80">
        <f>IFERROR(U11-S11,"n.a.")</f>
        <v>328</v>
      </c>
      <c r="U11" s="67">
        <v>936.3</v>
      </c>
      <c r="V11" s="80">
        <f>IFERROR(W11-U11,"n.a.")</f>
        <v>342.80000000000018</v>
      </c>
      <c r="W11" s="75">
        <f>'Fin. Highlights - FY'!H11</f>
        <v>1279.1000000000001</v>
      </c>
      <c r="X11" s="67">
        <v>327.04000000000002</v>
      </c>
      <c r="Y11" s="80">
        <f>IFERROR(Z11-X11,"n.a.")</f>
        <v>330.46</v>
      </c>
      <c r="Z11" s="67">
        <v>657.5</v>
      </c>
      <c r="AA11" s="80">
        <f>IFERROR(AB11-Z11,"n.a.")</f>
        <v>350.1</v>
      </c>
      <c r="AB11" s="67">
        <v>1007.6</v>
      </c>
      <c r="AC11" s="80">
        <f>IFERROR(AD11-AB11,"n.a.")</f>
        <v>343.1</v>
      </c>
      <c r="AD11" s="75">
        <f>'Fin. Highlights - FY'!I11</f>
        <v>1350.7</v>
      </c>
      <c r="AE11" s="67" t="s">
        <v>230</v>
      </c>
      <c r="AF11" s="80" t="str">
        <f>IFERROR(AG11-AE11,"n.a.")</f>
        <v>n.a.</v>
      </c>
      <c r="AG11" s="67" t="s">
        <v>230</v>
      </c>
      <c r="AH11" s="80" t="str">
        <f>IFERROR(AI11-AG11,"n.a.")</f>
        <v>n.a.</v>
      </c>
      <c r="AI11" s="67" t="s">
        <v>230</v>
      </c>
      <c r="AJ11" s="80" t="str">
        <f>IFERROR(AK11-AI11,"n.a.")</f>
        <v>n.a.</v>
      </c>
      <c r="AK11" s="75" t="str">
        <f>'Fin. Highlights - FY'!J11</f>
        <v>n.a.</v>
      </c>
      <c r="AL11" s="2"/>
      <c r="AM11" s="182"/>
      <c r="AN11" s="2"/>
      <c r="AO11" s="2"/>
      <c r="AP11" s="2"/>
      <c r="AQ11" s="2"/>
    </row>
    <row r="12" spans="1:43" ht="13" hidden="1" outlineLevel="2" x14ac:dyDescent="0.3">
      <c r="A12" s="175" t="s">
        <v>251</v>
      </c>
      <c r="B12" s="50"/>
      <c r="C12" s="50">
        <f t="shared" ref="C12:AE12" si="3">IFERROR(C11/C7,"n.a.")</f>
        <v>0.22144127360487761</v>
      </c>
      <c r="D12" s="50">
        <f t="shared" si="3"/>
        <v>0.21540930979133224</v>
      </c>
      <c r="E12" s="50">
        <f t="shared" si="3"/>
        <v>0.21834438996250358</v>
      </c>
      <c r="F12" s="50">
        <f t="shared" si="3"/>
        <v>0.21217567989996874</v>
      </c>
      <c r="G12" s="50">
        <f t="shared" si="3"/>
        <v>0.21621475785781735</v>
      </c>
      <c r="H12" s="50">
        <f t="shared" si="3"/>
        <v>0.22120472857619844</v>
      </c>
      <c r="I12" s="50">
        <f t="shared" si="3"/>
        <v>0.21748811790701544</v>
      </c>
      <c r="J12" s="50">
        <f t="shared" si="3"/>
        <v>0.21033375643993132</v>
      </c>
      <c r="K12" s="50">
        <f t="shared" si="3"/>
        <v>0.21181277860326894</v>
      </c>
      <c r="L12" s="50">
        <f t="shared" si="3"/>
        <v>0.21107511265035564</v>
      </c>
      <c r="M12" s="50">
        <f t="shared" si="3"/>
        <v>0.22088383091930242</v>
      </c>
      <c r="N12" s="50">
        <f t="shared" si="3"/>
        <v>0.21436176798316209</v>
      </c>
      <c r="O12" s="50">
        <f t="shared" si="3"/>
        <v>0.23550437821972706</v>
      </c>
      <c r="P12" s="50">
        <f t="shared" si="3"/>
        <v>0.21955145810866258</v>
      </c>
      <c r="Q12" s="50">
        <f t="shared" si="3"/>
        <v>0.22743508178504487</v>
      </c>
      <c r="R12" s="50">
        <f t="shared" si="3"/>
        <v>0.23506934659357767</v>
      </c>
      <c r="S12" s="50">
        <f t="shared" si="3"/>
        <v>0.23126639546819752</v>
      </c>
      <c r="T12" s="50">
        <f t="shared" si="3"/>
        <v>0.25330141323654337</v>
      </c>
      <c r="U12" s="50">
        <f t="shared" si="3"/>
        <v>0.23853561601956585</v>
      </c>
      <c r="V12" s="50">
        <f t="shared" si="3"/>
        <v>0.27007777735758676</v>
      </c>
      <c r="W12" s="50">
        <f t="shared" si="3"/>
        <v>0.24624292323519809</v>
      </c>
      <c r="X12" s="50">
        <f t="shared" si="3"/>
        <v>0.24892601940624323</v>
      </c>
      <c r="Y12" s="50">
        <f t="shared" si="3"/>
        <v>0.24642087217448563</v>
      </c>
      <c r="Z12" s="50">
        <f t="shared" si="3"/>
        <v>0.24766059612564661</v>
      </c>
      <c r="AA12" s="50">
        <f t="shared" si="3"/>
        <v>0.25341267468717904</v>
      </c>
      <c r="AB12" s="50">
        <f t="shared" si="3"/>
        <v>0.24962937123920817</v>
      </c>
      <c r="AC12" s="50">
        <f t="shared" si="3"/>
        <v>0.26665754751221959</v>
      </c>
      <c r="AD12" s="50">
        <f t="shared" si="3"/>
        <v>0.25374536004056319</v>
      </c>
      <c r="AE12" s="50" t="str">
        <f t="shared" si="3"/>
        <v>n.a.</v>
      </c>
      <c r="AF12" s="50" t="str">
        <f t="shared" ref="AF12:AJ12" si="4">IFERROR(AF11/AF7,"n.a.")</f>
        <v>n.a.</v>
      </c>
      <c r="AG12" s="50" t="str">
        <f t="shared" si="4"/>
        <v>n.a.</v>
      </c>
      <c r="AH12" s="50" t="str">
        <f t="shared" si="4"/>
        <v>n.a.</v>
      </c>
      <c r="AI12" s="50" t="str">
        <f t="shared" si="4"/>
        <v>n.a.</v>
      </c>
      <c r="AJ12" s="50" t="str">
        <f t="shared" si="4"/>
        <v>n.a.</v>
      </c>
      <c r="AK12" s="50" t="str">
        <f t="shared" ref="AK12" si="5">IFERROR(AK11/AK7,"n.a.")</f>
        <v>n.a.</v>
      </c>
      <c r="AL12" s="25"/>
    </row>
    <row r="13" spans="1:43" hidden="1" outlineLevel="2" x14ac:dyDescent="0.3">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row>
    <row r="14" spans="1:43" s="25" customFormat="1" ht="13" collapsed="1" x14ac:dyDescent="0.3">
      <c r="A14" s="103" t="s">
        <v>208</v>
      </c>
      <c r="B14" s="104"/>
      <c r="C14" s="105">
        <v>261.5</v>
      </c>
      <c r="D14" s="106">
        <f>E14-C14</f>
        <v>268.39999999999998</v>
      </c>
      <c r="E14" s="105">
        <v>529.9</v>
      </c>
      <c r="F14" s="106">
        <f>G14-E14</f>
        <v>271.5</v>
      </c>
      <c r="G14" s="105">
        <v>801.4</v>
      </c>
      <c r="H14" s="106">
        <f>I14-G14</f>
        <v>280.90700000000004</v>
      </c>
      <c r="I14" s="107">
        <f>'Fin. Highlights - FY'!F14</f>
        <v>1082.307</v>
      </c>
      <c r="J14" s="105">
        <v>270.40000000000003</v>
      </c>
      <c r="K14" s="106">
        <f>L14-J14</f>
        <v>275.99999999999994</v>
      </c>
      <c r="L14" s="105">
        <v>546.4</v>
      </c>
      <c r="M14" s="106">
        <f>N14-L14</f>
        <v>289.90000000000009</v>
      </c>
      <c r="N14" s="105">
        <v>836.30000000000007</v>
      </c>
      <c r="O14" s="106">
        <f>P14-N14</f>
        <v>301.39999999999998</v>
      </c>
      <c r="P14" s="107">
        <f>'Fin. Highlights - FY'!G14</f>
        <v>1137.7</v>
      </c>
      <c r="Q14" s="105">
        <v>288.10000000000002</v>
      </c>
      <c r="R14" s="106">
        <f>IFERROR(S14-Q14,"n.a.")</f>
        <v>299.79999999999995</v>
      </c>
      <c r="S14" s="105">
        <v>587.9</v>
      </c>
      <c r="T14" s="106">
        <f>IFERROR(U14-S14,"n.a.")</f>
        <v>319.79999999999995</v>
      </c>
      <c r="U14" s="105">
        <v>907.69999999999993</v>
      </c>
      <c r="V14" s="106">
        <f>IFERROR(W14-U14,"n.a.")</f>
        <v>327.00000000000011</v>
      </c>
      <c r="W14" s="107">
        <f>'Fin. Highlights - FY'!H14</f>
        <v>1234.7</v>
      </c>
      <c r="X14" s="105">
        <v>315.58999999999997</v>
      </c>
      <c r="Y14" s="106">
        <f>IFERROR(Z14-X14,"n.a.")</f>
        <v>320.51000000000005</v>
      </c>
      <c r="Z14" s="105">
        <v>636.1</v>
      </c>
      <c r="AA14" s="106">
        <f>IFERROR(AB14-Z14,"n.a.")</f>
        <v>342.4</v>
      </c>
      <c r="AB14" s="105">
        <v>978.5</v>
      </c>
      <c r="AC14" s="106">
        <f>IFERROR(AD14-AB14,"n.a.")</f>
        <v>331.58500000000004</v>
      </c>
      <c r="AD14" s="107">
        <f>'Fin. Highlights - FY'!I14</f>
        <v>1310.085</v>
      </c>
      <c r="AE14" s="105">
        <v>244.22800000000001</v>
      </c>
      <c r="AF14" s="106">
        <f>IFERROR(AG14-AE14,"n.a.")</f>
        <v>23.658000000000015</v>
      </c>
      <c r="AG14" s="105">
        <v>267.88600000000002</v>
      </c>
      <c r="AH14" s="106">
        <f>IFERROR(AI14-AG14,"n.a.")</f>
        <v>309.39299999999997</v>
      </c>
      <c r="AI14" s="105">
        <v>577.279</v>
      </c>
      <c r="AJ14" s="106">
        <f>IFERROR(AK14-AI14,"n.a.")</f>
        <v>315.35500000000002</v>
      </c>
      <c r="AK14" s="107">
        <f>'Fin. Highlights - FY'!J14</f>
        <v>892.63400000000001</v>
      </c>
      <c r="AL14" s="2"/>
      <c r="AM14" s="182"/>
      <c r="AN14" s="2"/>
      <c r="AO14" s="2"/>
      <c r="AP14" s="2"/>
      <c r="AQ14" s="2"/>
    </row>
    <row r="15" spans="1:43" x14ac:dyDescent="0.3">
      <c r="A15" s="167" t="s">
        <v>209</v>
      </c>
      <c r="B15" s="50"/>
      <c r="C15" s="50">
        <f t="shared" ref="C15:AE15" si="6">IFERROR(C14/C7,"n.a.")</f>
        <v>0.22144127360487761</v>
      </c>
      <c r="D15" s="50">
        <f t="shared" si="6"/>
        <v>0.21540930979133224</v>
      </c>
      <c r="E15" s="50">
        <f t="shared" si="6"/>
        <v>0.21834438996250358</v>
      </c>
      <c r="F15" s="50">
        <f t="shared" si="6"/>
        <v>0.21217567989996874</v>
      </c>
      <c r="G15" s="50">
        <f t="shared" si="6"/>
        <v>0.21621475785781735</v>
      </c>
      <c r="H15" s="50">
        <f t="shared" si="6"/>
        <v>0.22120472857619844</v>
      </c>
      <c r="I15" s="50">
        <f t="shared" si="6"/>
        <v>0.21748811790701544</v>
      </c>
      <c r="J15" s="50">
        <f t="shared" si="6"/>
        <v>0.20189651310386023</v>
      </c>
      <c r="K15" s="50">
        <f t="shared" si="6"/>
        <v>0.20505200594353643</v>
      </c>
      <c r="L15" s="50">
        <f t="shared" si="6"/>
        <v>0.20347819610471829</v>
      </c>
      <c r="M15" s="50">
        <f t="shared" si="6"/>
        <v>0.2142329293526456</v>
      </c>
      <c r="N15" s="50">
        <f t="shared" si="6"/>
        <v>0.2070818373158351</v>
      </c>
      <c r="O15" s="50">
        <f t="shared" si="6"/>
        <v>0.22941506010156984</v>
      </c>
      <c r="P15" s="50">
        <f t="shared" si="6"/>
        <v>0.2125637766064381</v>
      </c>
      <c r="Q15" s="50">
        <f t="shared" si="6"/>
        <v>0.21987935255795782</v>
      </c>
      <c r="R15" s="50">
        <f t="shared" si="6"/>
        <v>0.22711501807526452</v>
      </c>
      <c r="S15" s="50">
        <f t="shared" si="6"/>
        <v>0.22351062616431583</v>
      </c>
      <c r="T15" s="50">
        <f t="shared" si="6"/>
        <v>0.24696887790562971</v>
      </c>
      <c r="U15" s="50">
        <f t="shared" si="6"/>
        <v>0.23124936308977884</v>
      </c>
      <c r="V15" s="50">
        <f t="shared" si="6"/>
        <v>0.25762961842453574</v>
      </c>
      <c r="W15" s="50">
        <f t="shared" si="6"/>
        <v>0.23769536183136505</v>
      </c>
      <c r="X15" s="50">
        <f t="shared" si="6"/>
        <v>0.24021086859227095</v>
      </c>
      <c r="Y15" s="50">
        <f t="shared" si="6"/>
        <v>0.23900125201429645</v>
      </c>
      <c r="Z15" s="50">
        <f t="shared" si="6"/>
        <v>0.2395998558106826</v>
      </c>
      <c r="AA15" s="50">
        <f t="shared" si="6"/>
        <v>0.24783918826875201</v>
      </c>
      <c r="AB15" s="50">
        <f t="shared" si="6"/>
        <v>0.24241994815161294</v>
      </c>
      <c r="AC15" s="50">
        <f t="shared" si="6"/>
        <v>0.25770808187653549</v>
      </c>
      <c r="AD15" s="50">
        <f t="shared" si="6"/>
        <v>0.24611534020044512</v>
      </c>
      <c r="AE15" s="50">
        <f t="shared" si="6"/>
        <v>0.23225038323576516</v>
      </c>
      <c r="AF15" s="50">
        <f t="shared" ref="AF15:AJ15" si="7">IFERROR(AF14/AF7,"n.a.")</f>
        <v>3.093127212014796E-2</v>
      </c>
      <c r="AG15" s="50">
        <f t="shared" si="7"/>
        <v>0.147479477590371</v>
      </c>
      <c r="AH15" s="50">
        <f t="shared" si="7"/>
        <v>0.24220507107791525</v>
      </c>
      <c r="AI15" s="50">
        <f t="shared" si="7"/>
        <v>0.18659040735916324</v>
      </c>
      <c r="AJ15" s="50">
        <f t="shared" si="7"/>
        <v>0.26099043201983607</v>
      </c>
      <c r="AK15" s="50">
        <f t="shared" ref="AK15" si="8">IFERROR(AK14/AK7,"n.a.")</f>
        <v>0.20748647588834462</v>
      </c>
    </row>
    <row r="16" spans="1:43" x14ac:dyDescent="0.3">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row>
    <row r="17" spans="1:43" s="25" customFormat="1" ht="15" customHeight="1" outlineLevel="1" x14ac:dyDescent="0.3">
      <c r="A17" s="39" t="s">
        <v>261</v>
      </c>
      <c r="B17" s="45"/>
      <c r="C17" s="81">
        <f t="shared" ref="C17:V17" si="9">IFERROR(C24-C14,"n.a.")</f>
        <v>-57.900000000000006</v>
      </c>
      <c r="D17" s="81">
        <f t="shared" si="9"/>
        <v>-58.799999999999983</v>
      </c>
      <c r="E17" s="81">
        <f t="shared" si="9"/>
        <v>-116.69999999999999</v>
      </c>
      <c r="F17" s="81">
        <f t="shared" si="9"/>
        <v>-64.000000000000057</v>
      </c>
      <c r="G17" s="81">
        <f t="shared" si="9"/>
        <v>-180.70000000000005</v>
      </c>
      <c r="H17" s="81">
        <f t="shared" si="9"/>
        <v>-57.283999999999992</v>
      </c>
      <c r="I17" s="81">
        <f t="shared" si="9"/>
        <v>-237.98400000000004</v>
      </c>
      <c r="J17" s="81">
        <f t="shared" si="9"/>
        <v>-65.400000000000034</v>
      </c>
      <c r="K17" s="81">
        <f t="shared" si="9"/>
        <v>-64.800000000000011</v>
      </c>
      <c r="L17" s="81">
        <f t="shared" si="9"/>
        <v>-130.20000000000005</v>
      </c>
      <c r="M17" s="81">
        <f t="shared" si="9"/>
        <v>-63.899999999999977</v>
      </c>
      <c r="N17" s="81">
        <f t="shared" si="9"/>
        <v>-194.10000000000002</v>
      </c>
      <c r="O17" s="81">
        <f t="shared" si="9"/>
        <v>-67.199999999999989</v>
      </c>
      <c r="P17" s="81">
        <f t="shared" si="9"/>
        <v>-261.30000000000007</v>
      </c>
      <c r="Q17" s="81">
        <f t="shared" si="9"/>
        <v>-69.700000000000017</v>
      </c>
      <c r="R17" s="81">
        <f t="shared" si="9"/>
        <v>-68.099999999999937</v>
      </c>
      <c r="S17" s="81">
        <f t="shared" si="9"/>
        <v>-137.79999999999995</v>
      </c>
      <c r="T17" s="81">
        <f t="shared" si="9"/>
        <v>-69.799999999999955</v>
      </c>
      <c r="U17" s="81">
        <f t="shared" si="9"/>
        <v>-207.59999999999991</v>
      </c>
      <c r="V17" s="81">
        <f t="shared" si="9"/>
        <v>-72.10000000000008</v>
      </c>
      <c r="W17" s="81">
        <f>IFERROR(W24-W14,"n.a.")</f>
        <v>-279.70000000000005</v>
      </c>
      <c r="X17" s="81">
        <f t="shared" ref="X17:AC17" si="10">IFERROR(X24-X14,"n.a.")</f>
        <v>-96.416999999999973</v>
      </c>
      <c r="Y17" s="81">
        <f t="shared" si="10"/>
        <v>-99.18300000000005</v>
      </c>
      <c r="Z17" s="81">
        <f t="shared" si="10"/>
        <v>-195.60000000000002</v>
      </c>
      <c r="AA17" s="81">
        <f t="shared" si="10"/>
        <v>-97.9</v>
      </c>
      <c r="AB17" s="81">
        <f t="shared" si="10"/>
        <v>-293.5</v>
      </c>
      <c r="AC17" s="81">
        <f t="shared" si="10"/>
        <v>-99.284999999999997</v>
      </c>
      <c r="AD17" s="81">
        <f>IFERROR(AD24-AD14,"n.a.")</f>
        <v>-392.78499999999997</v>
      </c>
      <c r="AE17" s="81">
        <f t="shared" ref="AE17:AJ17" si="11">IFERROR(AE24-AE14,"n.a.")</f>
        <v>-103.15800000000002</v>
      </c>
      <c r="AF17" s="81">
        <f t="shared" si="11"/>
        <v>-98.066000000000003</v>
      </c>
      <c r="AG17" s="81">
        <f t="shared" si="11"/>
        <v>-201.22400000000002</v>
      </c>
      <c r="AH17" s="81">
        <f t="shared" si="11"/>
        <v>-95.672999999999973</v>
      </c>
      <c r="AI17" s="81">
        <f t="shared" si="11"/>
        <v>-296.89699999999999</v>
      </c>
      <c r="AJ17" s="81">
        <f t="shared" si="11"/>
        <v>-94.557000000000016</v>
      </c>
      <c r="AK17" s="81">
        <f>IFERROR(AK24-AK14,"n.a.")</f>
        <v>-391.45400000000001</v>
      </c>
      <c r="AL17" s="2"/>
      <c r="AM17" s="2"/>
      <c r="AN17" s="2"/>
      <c r="AO17" s="2"/>
      <c r="AP17" s="2"/>
      <c r="AQ17" s="2"/>
    </row>
    <row r="18" spans="1:43" ht="13" hidden="1" outlineLevel="2" x14ac:dyDescent="0.3">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25"/>
      <c r="AM18" s="25"/>
      <c r="AN18" s="25"/>
      <c r="AO18" s="25"/>
      <c r="AP18" s="25"/>
    </row>
    <row r="19" spans="1:43" s="25" customFormat="1" ht="13" hidden="1" outlineLevel="2" x14ac:dyDescent="0.3">
      <c r="A19" s="42" t="s">
        <v>231</v>
      </c>
      <c r="B19" s="48"/>
      <c r="C19" s="67">
        <v>203.6</v>
      </c>
      <c r="D19" s="80">
        <f>E19-C19</f>
        <v>209.6</v>
      </c>
      <c r="E19" s="67">
        <v>413.2</v>
      </c>
      <c r="F19" s="80">
        <f>G19-E19</f>
        <v>207.49999999999994</v>
      </c>
      <c r="G19" s="67">
        <v>620.69999999999993</v>
      </c>
      <c r="H19" s="80">
        <f>I19-G19</f>
        <v>223.62300000000005</v>
      </c>
      <c r="I19" s="75">
        <f>'Fin. Highlights - FY'!F19</f>
        <v>844.32299999999998</v>
      </c>
      <c r="J19" s="67">
        <v>219.5</v>
      </c>
      <c r="K19" s="80">
        <f>L19-J19</f>
        <v>223.49999999999994</v>
      </c>
      <c r="L19" s="67">
        <v>442.99999999999994</v>
      </c>
      <c r="M19" s="80">
        <f>N19-L19</f>
        <v>238.2000000000001</v>
      </c>
      <c r="N19" s="67">
        <v>681.2</v>
      </c>
      <c r="O19" s="80">
        <f>P19-N19</f>
        <v>245.39999999999998</v>
      </c>
      <c r="P19" s="75">
        <f>'Fin. Highlights - FY'!G19</f>
        <v>926.6</v>
      </c>
      <c r="Q19" s="67">
        <v>229.4</v>
      </c>
      <c r="R19" s="80">
        <f>IFERROR(S19-Q19,"n.a.")</f>
        <v>243.9</v>
      </c>
      <c r="S19" s="67">
        <v>473.3</v>
      </c>
      <c r="T19" s="80">
        <f>IFERROR(U19-S19,"n.a.")</f>
        <v>258.8</v>
      </c>
      <c r="U19" s="67">
        <v>732.1</v>
      </c>
      <c r="V19" s="80">
        <f>IFERROR(W19-U19,"n.a.")</f>
        <v>270.60000000000002</v>
      </c>
      <c r="W19" s="75">
        <f>'Fin. Highlights - FY'!H19</f>
        <v>1002.7</v>
      </c>
      <c r="X19" s="67">
        <v>230.673</v>
      </c>
      <c r="Y19" s="80">
        <f>IFERROR(Z19-X19,"n.a.")</f>
        <v>231.72699999999998</v>
      </c>
      <c r="Z19" s="67">
        <v>462.4</v>
      </c>
      <c r="AA19" s="80">
        <f>IFERROR(AB19-Z19,"n.a.")</f>
        <v>252</v>
      </c>
      <c r="AB19" s="67">
        <v>714.4</v>
      </c>
      <c r="AC19" s="80">
        <f>IFERROR(AD19-AB19,"n.a.")</f>
        <v>244.20000000000005</v>
      </c>
      <c r="AD19" s="75">
        <f>'Fin. Highlights - FY'!I19</f>
        <v>958.6</v>
      </c>
      <c r="AE19" s="67" t="s">
        <v>230</v>
      </c>
      <c r="AF19" s="80" t="str">
        <f>IFERROR(AG19-AE19,"n.a.")</f>
        <v>n.a.</v>
      </c>
      <c r="AG19" s="67" t="s">
        <v>230</v>
      </c>
      <c r="AH19" s="80" t="str">
        <f>IFERROR(AI19-AG19,"n.a.")</f>
        <v>n.a.</v>
      </c>
      <c r="AI19" s="67" t="s">
        <v>230</v>
      </c>
      <c r="AJ19" s="80" t="str">
        <f>IFERROR(AK19-AI19,"n.a.")</f>
        <v>n.a.</v>
      </c>
      <c r="AK19" s="75" t="str">
        <f>'Fin. Highlights - FY'!J19</f>
        <v>n.a.</v>
      </c>
      <c r="AM19" s="182"/>
    </row>
    <row r="20" spans="1:43" ht="12.75" hidden="1" customHeight="1" outlineLevel="2" x14ac:dyDescent="0.3">
      <c r="A20" s="113"/>
      <c r="B20" s="114"/>
      <c r="C20" s="114"/>
      <c r="D20" s="114"/>
      <c r="E20" s="114"/>
      <c r="F20" s="114"/>
      <c r="G20" s="114"/>
      <c r="H20" s="114"/>
      <c r="I20" s="115"/>
      <c r="J20" s="114"/>
      <c r="K20" s="114"/>
      <c r="L20" s="114"/>
      <c r="M20" s="114"/>
      <c r="N20" s="114"/>
      <c r="O20" s="114"/>
      <c r="P20" s="115"/>
      <c r="Q20" s="114"/>
      <c r="R20" s="114"/>
      <c r="S20" s="114"/>
      <c r="T20" s="114"/>
      <c r="U20" s="114"/>
      <c r="V20" s="114"/>
      <c r="W20" s="115"/>
      <c r="X20" s="114"/>
      <c r="Y20" s="114"/>
      <c r="Z20" s="114"/>
      <c r="AA20" s="114"/>
      <c r="AB20" s="114"/>
      <c r="AC20" s="114"/>
      <c r="AD20" s="115"/>
      <c r="AE20" s="114"/>
      <c r="AF20" s="114"/>
      <c r="AG20" s="114"/>
      <c r="AH20" s="114"/>
      <c r="AI20" s="114"/>
      <c r="AJ20" s="114"/>
      <c r="AK20" s="115"/>
    </row>
    <row r="21" spans="1:43" ht="13" hidden="1" outlineLevel="2" x14ac:dyDescent="0.3">
      <c r="A21" s="170" t="s">
        <v>232</v>
      </c>
      <c r="B21" s="47"/>
      <c r="C21" s="47">
        <f t="shared" ref="C21:AE21" si="12">IFERROR(C19/C7,"n.a.")</f>
        <v>0.17241087306291811</v>
      </c>
      <c r="D21" s="47">
        <f t="shared" si="12"/>
        <v>0.1682182985553772</v>
      </c>
      <c r="E21" s="47">
        <f t="shared" si="12"/>
        <v>0.1702583542791215</v>
      </c>
      <c r="F21" s="47">
        <f t="shared" si="12"/>
        <v>0.16216005001562986</v>
      </c>
      <c r="G21" s="47">
        <f t="shared" si="12"/>
        <v>0.16746256576284904</v>
      </c>
      <c r="H21" s="47">
        <f t="shared" si="12"/>
        <v>0.17609552278296814</v>
      </c>
      <c r="I21" s="47">
        <f t="shared" si="12"/>
        <v>0.16966555716225157</v>
      </c>
      <c r="J21" s="47">
        <f t="shared" si="12"/>
        <v>0.16389158515642496</v>
      </c>
      <c r="K21" s="47">
        <f t="shared" si="12"/>
        <v>0.1660475482912333</v>
      </c>
      <c r="L21" s="47">
        <f t="shared" si="12"/>
        <v>0.16497225635869361</v>
      </c>
      <c r="M21" s="47">
        <f t="shared" si="12"/>
        <v>0.17602719479751705</v>
      </c>
      <c r="N21" s="47">
        <f t="shared" si="12"/>
        <v>0.16867648879534483</v>
      </c>
      <c r="O21" s="47">
        <f t="shared" si="12"/>
        <v>0.18678983327446994</v>
      </c>
      <c r="P21" s="47">
        <f t="shared" si="12"/>
        <v>0.17312261176366839</v>
      </c>
      <c r="Q21" s="47">
        <f t="shared" si="12"/>
        <v>0.17507922067613857</v>
      </c>
      <c r="R21" s="47">
        <f t="shared" si="12"/>
        <v>0.18476768815395941</v>
      </c>
      <c r="S21" s="47">
        <f t="shared" si="12"/>
        <v>0.17994145154545108</v>
      </c>
      <c r="T21" s="47">
        <f t="shared" si="12"/>
        <v>0.19986099312688238</v>
      </c>
      <c r="U21" s="47">
        <f t="shared" si="12"/>
        <v>0.1865127891572404</v>
      </c>
      <c r="V21" s="47">
        <f t="shared" si="12"/>
        <v>0.2131944181825057</v>
      </c>
      <c r="W21" s="47">
        <f t="shared" si="12"/>
        <v>0.19303242836989531</v>
      </c>
      <c r="X21" s="47">
        <f t="shared" si="12"/>
        <v>0.17557641779139049</v>
      </c>
      <c r="Y21" s="47">
        <f t="shared" si="12"/>
        <v>0.17279661516182604</v>
      </c>
      <c r="Z21" s="47">
        <f t="shared" si="12"/>
        <v>0.1741722580205308</v>
      </c>
      <c r="AA21" s="47">
        <f t="shared" si="12"/>
        <v>0.18240501005760956</v>
      </c>
      <c r="AB21" s="47">
        <f t="shared" si="12"/>
        <v>0.17699009806797369</v>
      </c>
      <c r="AC21" s="47">
        <f t="shared" si="12"/>
        <v>0.18979240193087737</v>
      </c>
      <c r="AD21" s="47">
        <f t="shared" si="12"/>
        <v>0.18008462436875983</v>
      </c>
      <c r="AE21" s="47" t="str">
        <f t="shared" si="12"/>
        <v>n.a.</v>
      </c>
      <c r="AF21" s="47" t="str">
        <f t="shared" ref="AF21:AJ21" si="13">IFERROR(AF19/AF7,"n.a.")</f>
        <v>n.a.</v>
      </c>
      <c r="AG21" s="47" t="str">
        <f t="shared" si="13"/>
        <v>n.a.</v>
      </c>
      <c r="AH21" s="47" t="str">
        <f t="shared" si="13"/>
        <v>n.a.</v>
      </c>
      <c r="AI21" s="47" t="str">
        <f t="shared" si="13"/>
        <v>n.a.</v>
      </c>
      <c r="AJ21" s="47" t="str">
        <f t="shared" si="13"/>
        <v>n.a.</v>
      </c>
      <c r="AK21" s="47" t="str">
        <f t="shared" ref="AK21" si="14">IFERROR(AK19/AK7,"n.a.")</f>
        <v>n.a.</v>
      </c>
      <c r="AL21" s="25"/>
    </row>
    <row r="22" spans="1:43" hidden="1" outlineLevel="2" x14ac:dyDescent="0.3">
      <c r="A22" s="39" t="s">
        <v>32</v>
      </c>
      <c r="B22" s="54"/>
      <c r="C22" s="69">
        <v>0</v>
      </c>
      <c r="D22" s="81">
        <f>E22-C22</f>
        <v>0</v>
      </c>
      <c r="E22" s="69">
        <v>0</v>
      </c>
      <c r="F22" s="81">
        <f>G22-E22</f>
        <v>0</v>
      </c>
      <c r="G22" s="69">
        <v>0</v>
      </c>
      <c r="H22" s="81">
        <f>I22-G22</f>
        <v>0</v>
      </c>
      <c r="I22" s="56">
        <f>'Fin. Highlights - FY'!F22</f>
        <v>0</v>
      </c>
      <c r="J22" s="69">
        <v>-14.5</v>
      </c>
      <c r="K22" s="81">
        <f>L22-J22</f>
        <v>-12.3</v>
      </c>
      <c r="L22" s="69">
        <v>-26.8</v>
      </c>
      <c r="M22" s="81">
        <f>N22-L22</f>
        <v>-12.2</v>
      </c>
      <c r="N22" s="69">
        <v>-39</v>
      </c>
      <c r="O22" s="81">
        <f>P22-N22</f>
        <v>-11.200000000000003</v>
      </c>
      <c r="P22" s="56">
        <f>'Fin. Highlights - FY'!G22</f>
        <v>-50.2</v>
      </c>
      <c r="Q22" s="69">
        <v>-11</v>
      </c>
      <c r="R22" s="81">
        <f>IFERROR(S22-Q22,"n.a.")</f>
        <v>-12.199999999999989</v>
      </c>
      <c r="S22" s="69">
        <v>-23.199999999999989</v>
      </c>
      <c r="T22" s="81">
        <f>IFERROR(U22-S22,"n.a.")</f>
        <v>-8.8000000000000114</v>
      </c>
      <c r="U22" s="69">
        <v>-32</v>
      </c>
      <c r="V22" s="81">
        <f>W22-U22</f>
        <v>-15.700000000000003</v>
      </c>
      <c r="W22" s="56">
        <f>'Fin. Highlights - FY'!H22</f>
        <v>-47.7</v>
      </c>
      <c r="X22" s="69">
        <v>-11.5</v>
      </c>
      <c r="Y22" s="81">
        <f>IFERROR(Z22-X22,"n.a.")</f>
        <v>-10.399999999999977</v>
      </c>
      <c r="Z22" s="69">
        <v>-21.899999999999977</v>
      </c>
      <c r="AA22" s="81">
        <f>IFERROR(AB22-Z22,"n.a.")</f>
        <v>-7.5000000000000213</v>
      </c>
      <c r="AB22" s="69">
        <v>-29.4</v>
      </c>
      <c r="AC22" s="81">
        <f>IFERROR(AD22-AB22,"n.a.")</f>
        <v>-11.899999999999999</v>
      </c>
      <c r="AD22" s="56">
        <f>'Fin. Highlights - FY'!I22</f>
        <v>-41.3</v>
      </c>
      <c r="AE22" s="69" t="s">
        <v>230</v>
      </c>
      <c r="AF22" s="81" t="str">
        <f>IFERROR(AG22-AE22,"n.a.")</f>
        <v>n.a.</v>
      </c>
      <c r="AG22" s="69" t="s">
        <v>230</v>
      </c>
      <c r="AH22" s="81" t="str">
        <f>IFERROR(AI22-AG22,"n.a.")</f>
        <v>n.a.</v>
      </c>
      <c r="AI22" s="69" t="s">
        <v>230</v>
      </c>
      <c r="AJ22" s="81" t="str">
        <f>IFERROR(AK22-AI22,"n.a.")</f>
        <v>n.a.</v>
      </c>
      <c r="AK22" s="56" t="str">
        <f>'Fin. Highlights - FY'!J22</f>
        <v>n.a.</v>
      </c>
    </row>
    <row r="23" spans="1:43" collapsed="1" x14ac:dyDescent="0.3">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row>
    <row r="24" spans="1:43" s="25" customFormat="1" ht="13" x14ac:dyDescent="0.3">
      <c r="A24" s="103" t="s">
        <v>207</v>
      </c>
      <c r="B24" s="104"/>
      <c r="C24" s="104">
        <f t="shared" ref="C24:V24" si="15">IFERROR(C19+C22,"n.a.")</f>
        <v>203.6</v>
      </c>
      <c r="D24" s="104">
        <f t="shared" si="15"/>
        <v>209.6</v>
      </c>
      <c r="E24" s="104">
        <f t="shared" si="15"/>
        <v>413.2</v>
      </c>
      <c r="F24" s="104">
        <f t="shared" si="15"/>
        <v>207.49999999999994</v>
      </c>
      <c r="G24" s="104">
        <f t="shared" si="15"/>
        <v>620.69999999999993</v>
      </c>
      <c r="H24" s="104">
        <f t="shared" si="15"/>
        <v>223.62300000000005</v>
      </c>
      <c r="I24" s="104">
        <f t="shared" si="15"/>
        <v>844.32299999999998</v>
      </c>
      <c r="J24" s="104">
        <f t="shared" si="15"/>
        <v>205</v>
      </c>
      <c r="K24" s="104">
        <f t="shared" si="15"/>
        <v>211.19999999999993</v>
      </c>
      <c r="L24" s="104">
        <f t="shared" si="15"/>
        <v>416.19999999999993</v>
      </c>
      <c r="M24" s="104">
        <f t="shared" si="15"/>
        <v>226.00000000000011</v>
      </c>
      <c r="N24" s="104">
        <f t="shared" si="15"/>
        <v>642.20000000000005</v>
      </c>
      <c r="O24" s="104">
        <f t="shared" si="15"/>
        <v>234.2</v>
      </c>
      <c r="P24" s="104">
        <f t="shared" si="15"/>
        <v>876.4</v>
      </c>
      <c r="Q24" s="104">
        <f t="shared" si="15"/>
        <v>218.4</v>
      </c>
      <c r="R24" s="104">
        <f t="shared" si="15"/>
        <v>231.70000000000002</v>
      </c>
      <c r="S24" s="104">
        <f t="shared" si="15"/>
        <v>450.1</v>
      </c>
      <c r="T24" s="104">
        <f t="shared" si="15"/>
        <v>250</v>
      </c>
      <c r="U24" s="104">
        <f t="shared" si="15"/>
        <v>700.1</v>
      </c>
      <c r="V24" s="104">
        <f t="shared" si="15"/>
        <v>254.90000000000003</v>
      </c>
      <c r="W24" s="104">
        <f>IFERROR(W19+W22,"n.a.")</f>
        <v>955</v>
      </c>
      <c r="X24" s="104">
        <f t="shared" ref="X24:AC24" si="16">IFERROR(X19+X22,"n.a.")</f>
        <v>219.173</v>
      </c>
      <c r="Y24" s="104">
        <f t="shared" si="16"/>
        <v>221.327</v>
      </c>
      <c r="Z24" s="104">
        <f t="shared" si="16"/>
        <v>440.5</v>
      </c>
      <c r="AA24" s="104">
        <f t="shared" si="16"/>
        <v>244.49999999999997</v>
      </c>
      <c r="AB24" s="104">
        <f t="shared" si="16"/>
        <v>685</v>
      </c>
      <c r="AC24" s="104">
        <f t="shared" si="16"/>
        <v>232.30000000000004</v>
      </c>
      <c r="AD24" s="104">
        <f>IFERROR(AD19+AD22,"n.a.")</f>
        <v>917.30000000000007</v>
      </c>
      <c r="AE24" s="105">
        <v>141.07</v>
      </c>
      <c r="AF24" s="104">
        <f t="shared" ref="AF24:AJ27" si="17">IFERROR(AG24-AE24,"n.a.")</f>
        <v>-74.407999999999987</v>
      </c>
      <c r="AG24" s="105">
        <v>66.662000000000006</v>
      </c>
      <c r="AH24" s="104">
        <f t="shared" si="17"/>
        <v>213.72</v>
      </c>
      <c r="AI24" s="105">
        <v>280.38200000000001</v>
      </c>
      <c r="AJ24" s="104">
        <f t="shared" si="17"/>
        <v>220.798</v>
      </c>
      <c r="AK24" s="107">
        <f>'Fin. Highlights - FY'!J24</f>
        <v>501.18</v>
      </c>
      <c r="AL24" s="2"/>
      <c r="AM24" s="182"/>
      <c r="AN24" s="224"/>
      <c r="AO24" s="224"/>
      <c r="AP24" s="2"/>
      <c r="AQ24" s="2"/>
    </row>
    <row r="25" spans="1:43" x14ac:dyDescent="0.3">
      <c r="A25" s="167" t="s">
        <v>206</v>
      </c>
      <c r="B25" s="50"/>
      <c r="C25" s="50">
        <f t="shared" ref="C25:AE25" si="18">IFERROR(C24/C7,"n.a.")</f>
        <v>0.17241087306291811</v>
      </c>
      <c r="D25" s="50">
        <f t="shared" si="18"/>
        <v>0.1682182985553772</v>
      </c>
      <c r="E25" s="50">
        <f t="shared" si="18"/>
        <v>0.1702583542791215</v>
      </c>
      <c r="F25" s="50">
        <f t="shared" si="18"/>
        <v>0.16216005001562986</v>
      </c>
      <c r="G25" s="50">
        <f t="shared" si="18"/>
        <v>0.16746256576284904</v>
      </c>
      <c r="H25" s="50">
        <f t="shared" si="18"/>
        <v>0.17609552278296814</v>
      </c>
      <c r="I25" s="50">
        <f t="shared" si="18"/>
        <v>0.16966555716225157</v>
      </c>
      <c r="J25" s="50">
        <f t="shared" si="18"/>
        <v>0.15306503397297094</v>
      </c>
      <c r="K25" s="50">
        <f t="shared" si="18"/>
        <v>0.15690936106983655</v>
      </c>
      <c r="L25" s="50">
        <f t="shared" si="18"/>
        <v>0.15499199344579748</v>
      </c>
      <c r="M25" s="50">
        <f t="shared" si="18"/>
        <v>0.16701152822938226</v>
      </c>
      <c r="N25" s="50">
        <f t="shared" si="18"/>
        <v>0.15901943791011516</v>
      </c>
      <c r="O25" s="50">
        <f t="shared" si="18"/>
        <v>0.17826478790904995</v>
      </c>
      <c r="P25" s="50">
        <f t="shared" si="18"/>
        <v>0.16374342429276817</v>
      </c>
      <c r="Q25" s="50">
        <f t="shared" si="18"/>
        <v>0.16668396597937515</v>
      </c>
      <c r="R25" s="50">
        <f t="shared" si="18"/>
        <v>0.17552551597077654</v>
      </c>
      <c r="S25" s="50">
        <f t="shared" si="18"/>
        <v>0.17112116488613466</v>
      </c>
      <c r="T25" s="50">
        <f t="shared" si="18"/>
        <v>0.19306510155224341</v>
      </c>
      <c r="U25" s="50">
        <f t="shared" si="18"/>
        <v>0.17836033832670947</v>
      </c>
      <c r="V25" s="50">
        <f t="shared" si="18"/>
        <v>0.20082504506548671</v>
      </c>
      <c r="W25" s="50">
        <f t="shared" si="18"/>
        <v>0.18384957524010173</v>
      </c>
      <c r="X25" s="50">
        <f t="shared" si="18"/>
        <v>0.16682320955028299</v>
      </c>
      <c r="Y25" s="50">
        <f t="shared" si="18"/>
        <v>0.16504143429087451</v>
      </c>
      <c r="Z25" s="50">
        <f t="shared" si="18"/>
        <v>0.16592318265147885</v>
      </c>
      <c r="AA25" s="50">
        <f t="shared" si="18"/>
        <v>0.17697628952018069</v>
      </c>
      <c r="AB25" s="50">
        <f t="shared" si="18"/>
        <v>0.16970635103102183</v>
      </c>
      <c r="AC25" s="50">
        <f t="shared" si="18"/>
        <v>0.18054371403989686</v>
      </c>
      <c r="AD25" s="50">
        <f t="shared" si="18"/>
        <v>0.17232591897920235</v>
      </c>
      <c r="AE25" s="50">
        <f t="shared" si="18"/>
        <v>0.13415153693708087</v>
      </c>
      <c r="AF25" s="50">
        <f t="shared" ref="AF25:AJ25" si="19">IFERROR(AF24/AF7,"n.a.")</f>
        <v>-9.728354450570495E-2</v>
      </c>
      <c r="AG25" s="50">
        <f t="shared" si="19"/>
        <v>3.6699480133823015E-2</v>
      </c>
      <c r="AH25" s="50">
        <f t="shared" si="19"/>
        <v>0.16730846460899906</v>
      </c>
      <c r="AI25" s="50">
        <f t="shared" si="19"/>
        <v>9.0626181787622467E-2</v>
      </c>
      <c r="AJ25" s="50">
        <f t="shared" si="19"/>
        <v>0.18273426902733667</v>
      </c>
      <c r="AK25" s="50">
        <f t="shared" ref="AK25" si="20">IFERROR(AK24/AK7,"n.a.")</f>
        <v>0.11649575524315739</v>
      </c>
      <c r="AN25" s="182"/>
      <c r="AO25" s="182"/>
    </row>
    <row r="26" spans="1:43" ht="15" customHeight="1" outlineLevel="1" x14ac:dyDescent="0.3">
      <c r="A26" s="39" t="s">
        <v>30</v>
      </c>
      <c r="B26" s="69"/>
      <c r="C26" s="69">
        <v>-26.2</v>
      </c>
      <c r="D26" s="81">
        <f>E26-C26</f>
        <v>-26.099999999999998</v>
      </c>
      <c r="E26" s="69">
        <v>-52.3</v>
      </c>
      <c r="F26" s="81">
        <f>G26-E26</f>
        <v>-26.100000000000009</v>
      </c>
      <c r="G26" s="69">
        <v>-78.400000000000006</v>
      </c>
      <c r="H26" s="81">
        <f>I26-G26</f>
        <v>-26.199999999999989</v>
      </c>
      <c r="I26" s="56">
        <f>'Fin. Highlights - FY'!F26</f>
        <v>-104.6</v>
      </c>
      <c r="J26" s="69">
        <v>-26.2</v>
      </c>
      <c r="K26" s="81">
        <f>L26-J26</f>
        <v>-26.099999999999998</v>
      </c>
      <c r="L26" s="69">
        <v>-52.3</v>
      </c>
      <c r="M26" s="81">
        <f>N26-L26</f>
        <v>-28.600000000000009</v>
      </c>
      <c r="N26" s="69">
        <v>-80.900000000000006</v>
      </c>
      <c r="O26" s="81">
        <f>P26-N26</f>
        <v>-28.699999999999989</v>
      </c>
      <c r="P26" s="56">
        <f>'Fin. Highlights - FY'!G26</f>
        <v>-109.6</v>
      </c>
      <c r="Q26" s="69">
        <v>-28.7</v>
      </c>
      <c r="R26" s="81">
        <f t="shared" ref="R26:R27" si="21">IFERROR(S26-Q26,"n.a.")</f>
        <v>-28.599999999999998</v>
      </c>
      <c r="S26" s="69">
        <v>-57.3</v>
      </c>
      <c r="T26" s="81">
        <f t="shared" ref="T26:T27" si="22">IFERROR(U26-S26,"n.a.")</f>
        <v>-28.700000000000003</v>
      </c>
      <c r="U26" s="69">
        <v>-86</v>
      </c>
      <c r="V26" s="81">
        <f t="shared" ref="V26:V27" si="23">IFERROR(W26-U26,"n.a.")</f>
        <v>-28.599999999999994</v>
      </c>
      <c r="W26" s="56">
        <f>'Fin. Highlights - FY'!H26</f>
        <v>-114.6</v>
      </c>
      <c r="X26" s="69">
        <v>-28.65</v>
      </c>
      <c r="Y26" s="81">
        <f t="shared" ref="Y26:Y27" si="24">IFERROR(Z26-X26,"n.a.")</f>
        <v>-28.65</v>
      </c>
      <c r="Z26" s="69">
        <v>-57.3</v>
      </c>
      <c r="AA26" s="81">
        <f t="shared" ref="AA26:AA27" si="25">IFERROR(AB26-Z26,"n.a.")</f>
        <v>-28.700000000000003</v>
      </c>
      <c r="AB26" s="69">
        <v>-86</v>
      </c>
      <c r="AC26" s="81">
        <f t="shared" ref="AC26:AC27" si="26">IFERROR(AD26-AB26,"n.a.")</f>
        <v>-28.599999999999994</v>
      </c>
      <c r="AD26" s="56">
        <f>'Fin. Highlights - FY'!I26</f>
        <v>-114.6</v>
      </c>
      <c r="AE26" s="69">
        <v>-28.65</v>
      </c>
      <c r="AF26" s="81">
        <f t="shared" si="17"/>
        <v>-28.65</v>
      </c>
      <c r="AG26" s="69">
        <v>-57.3</v>
      </c>
      <c r="AH26" s="81">
        <f t="shared" ref="AH26" si="27">IFERROR(AI26-AG26,"n.a.")</f>
        <v>-28.700000000000003</v>
      </c>
      <c r="AI26" s="69">
        <v>-86</v>
      </c>
      <c r="AJ26" s="81">
        <f t="shared" ref="AJ26" si="28">IFERROR(AK26-AI26,"n.a.")</f>
        <v>-28.599999999999994</v>
      </c>
      <c r="AK26" s="56">
        <f>'Fin. Highlights - FY'!J26</f>
        <v>-114.6</v>
      </c>
    </row>
    <row r="27" spans="1:43" ht="15" customHeight="1" outlineLevel="1" x14ac:dyDescent="0.3">
      <c r="A27" s="32" t="s">
        <v>342</v>
      </c>
      <c r="B27" s="72"/>
      <c r="C27" s="72">
        <v>-11.3</v>
      </c>
      <c r="D27" s="84">
        <f>E27-C27</f>
        <v>-8.0999999999999979</v>
      </c>
      <c r="E27" s="72">
        <v>-19.399999999999999</v>
      </c>
      <c r="F27" s="84">
        <f>G27-E27</f>
        <v>-9.2000000000000028</v>
      </c>
      <c r="G27" s="72">
        <v>-28.6</v>
      </c>
      <c r="H27" s="84">
        <f>I27-G27+0.05</f>
        <v>-24.620999999999999</v>
      </c>
      <c r="I27" s="78">
        <f>'Fin. Highlights - FY'!F27</f>
        <v>-53.271000000000001</v>
      </c>
      <c r="J27" s="72">
        <v>-10.1</v>
      </c>
      <c r="K27" s="84">
        <f>L27-J27</f>
        <v>-35.6</v>
      </c>
      <c r="L27" s="72">
        <v>-45.7</v>
      </c>
      <c r="M27" s="84">
        <f>N27-L27</f>
        <v>25.500000000000004</v>
      </c>
      <c r="N27" s="72">
        <v>-20.2</v>
      </c>
      <c r="O27" s="84">
        <f>P27-N27</f>
        <v>-73</v>
      </c>
      <c r="P27" s="78">
        <f>'Fin. Highlights - FY'!G27</f>
        <v>-93.2</v>
      </c>
      <c r="Q27" s="72">
        <v>-5.7</v>
      </c>
      <c r="R27" s="84">
        <f t="shared" si="21"/>
        <v>-9.3999999999999986</v>
      </c>
      <c r="S27" s="72">
        <v>-15.1</v>
      </c>
      <c r="T27" s="84">
        <f t="shared" si="22"/>
        <v>-7.6</v>
      </c>
      <c r="U27" s="72">
        <v>-22.7</v>
      </c>
      <c r="V27" s="84">
        <f t="shared" si="23"/>
        <v>-114.60000000000001</v>
      </c>
      <c r="W27" s="78">
        <f>'Fin. Highlights - FY'!H27</f>
        <v>-137.30000000000001</v>
      </c>
      <c r="X27" s="72">
        <v>-7.4480000000000004</v>
      </c>
      <c r="Y27" s="84">
        <f t="shared" si="24"/>
        <v>49.247999999999998</v>
      </c>
      <c r="Z27" s="72">
        <v>41.8</v>
      </c>
      <c r="AA27" s="84">
        <f t="shared" si="25"/>
        <v>-42.9</v>
      </c>
      <c r="AB27" s="72">
        <v>-1.1000000000000001</v>
      </c>
      <c r="AC27" s="84">
        <f t="shared" si="26"/>
        <v>-58.894999999999996</v>
      </c>
      <c r="AD27" s="78">
        <f>'Fin. Highlights - FY'!I27</f>
        <v>-59.994999999999997</v>
      </c>
      <c r="AE27" s="72">
        <v>-24.048999999999999</v>
      </c>
      <c r="AF27" s="84">
        <f t="shared" si="17"/>
        <v>-42.101000000000006</v>
      </c>
      <c r="AG27" s="72">
        <v>-66.150000000000006</v>
      </c>
      <c r="AH27" s="84">
        <f t="shared" si="17"/>
        <v>-32.61999999999999</v>
      </c>
      <c r="AI27" s="89">
        <v>-98.77</v>
      </c>
      <c r="AJ27" s="83">
        <f t="shared" si="17"/>
        <v>-68.672000000000011</v>
      </c>
      <c r="AK27" s="77">
        <f>'Fin. Highlights - FY'!J27</f>
        <v>-167.44200000000001</v>
      </c>
    </row>
    <row r="28" spans="1:43" x14ac:dyDescent="0.3">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row>
    <row r="29" spans="1:43" ht="15" hidden="1" customHeight="1" outlineLevel="2" x14ac:dyDescent="0.3">
      <c r="A29" s="32"/>
      <c r="B29" s="72"/>
      <c r="C29" s="72"/>
      <c r="D29" s="84"/>
      <c r="E29" s="72"/>
      <c r="F29" s="84"/>
      <c r="G29" s="72"/>
      <c r="H29" s="84"/>
      <c r="I29" s="78"/>
      <c r="J29" s="72"/>
      <c r="K29" s="84"/>
      <c r="L29" s="72"/>
      <c r="M29" s="84"/>
      <c r="N29" s="72"/>
      <c r="O29" s="84"/>
      <c r="P29" s="78"/>
      <c r="Q29" s="72"/>
      <c r="R29" s="84"/>
      <c r="S29" s="72"/>
      <c r="T29" s="84"/>
      <c r="U29" s="72"/>
      <c r="V29" s="84"/>
      <c r="W29" s="78"/>
      <c r="X29" s="72"/>
      <c r="Y29" s="84"/>
      <c r="Z29" s="72"/>
      <c r="AA29" s="84"/>
      <c r="AB29" s="72"/>
      <c r="AC29" s="84"/>
      <c r="AD29" s="78"/>
      <c r="AE29" s="72"/>
      <c r="AF29" s="84"/>
      <c r="AG29" s="72"/>
      <c r="AH29" s="84"/>
      <c r="AI29" s="72"/>
      <c r="AJ29" s="84"/>
      <c r="AK29" s="78"/>
    </row>
    <row r="30" spans="1:43" ht="15" hidden="1" customHeight="1" outlineLevel="2" x14ac:dyDescent="0.3">
      <c r="A30" s="32"/>
      <c r="B30" s="72"/>
      <c r="C30" s="72"/>
      <c r="D30" s="84"/>
      <c r="E30" s="72"/>
      <c r="F30" s="84"/>
      <c r="G30" s="72"/>
      <c r="H30" s="84"/>
      <c r="I30" s="78"/>
      <c r="J30" s="72"/>
      <c r="K30" s="84"/>
      <c r="L30" s="72"/>
      <c r="M30" s="84"/>
      <c r="N30" s="72"/>
      <c r="O30" s="84"/>
      <c r="P30" s="78"/>
      <c r="Q30" s="72"/>
      <c r="R30" s="84"/>
      <c r="S30" s="72"/>
      <c r="T30" s="84"/>
      <c r="U30" s="72"/>
      <c r="V30" s="84"/>
      <c r="W30" s="78"/>
      <c r="X30" s="72"/>
      <c r="Y30" s="84"/>
      <c r="Z30" s="72"/>
      <c r="AA30" s="84"/>
      <c r="AB30" s="72"/>
      <c r="AC30" s="84"/>
      <c r="AD30" s="78"/>
      <c r="AE30" s="72"/>
      <c r="AF30" s="84"/>
      <c r="AG30" s="72"/>
      <c r="AH30" s="84"/>
      <c r="AI30" s="72"/>
      <c r="AJ30" s="84"/>
      <c r="AK30" s="78"/>
    </row>
    <row r="31" spans="1:43" s="25" customFormat="1" ht="13" collapsed="1" x14ac:dyDescent="0.3">
      <c r="A31" s="42" t="s">
        <v>12</v>
      </c>
      <c r="B31" s="51"/>
      <c r="C31" s="51">
        <f t="shared" ref="C31:V31" si="29">IFERROR(C24+C26+C27,"n.a.")</f>
        <v>166.1</v>
      </c>
      <c r="D31" s="51">
        <f t="shared" si="29"/>
        <v>175.4</v>
      </c>
      <c r="E31" s="51">
        <f t="shared" si="29"/>
        <v>341.5</v>
      </c>
      <c r="F31" s="51">
        <f t="shared" si="29"/>
        <v>172.19999999999993</v>
      </c>
      <c r="G31" s="51">
        <f t="shared" si="29"/>
        <v>513.69999999999993</v>
      </c>
      <c r="H31" s="51">
        <f t="shared" si="29"/>
        <v>172.80200000000005</v>
      </c>
      <c r="I31" s="51">
        <f t="shared" si="29"/>
        <v>686.452</v>
      </c>
      <c r="J31" s="51">
        <f t="shared" si="29"/>
        <v>168.70000000000002</v>
      </c>
      <c r="K31" s="51">
        <f t="shared" si="29"/>
        <v>149.49999999999994</v>
      </c>
      <c r="L31" s="51">
        <f t="shared" si="29"/>
        <v>318.19999999999993</v>
      </c>
      <c r="M31" s="51">
        <f t="shared" si="29"/>
        <v>222.90000000000009</v>
      </c>
      <c r="N31" s="51">
        <f t="shared" si="29"/>
        <v>541.1</v>
      </c>
      <c r="O31" s="51">
        <f t="shared" si="29"/>
        <v>132.5</v>
      </c>
      <c r="P31" s="51">
        <f t="shared" si="29"/>
        <v>673.59999999999991</v>
      </c>
      <c r="Q31" s="51">
        <f t="shared" si="29"/>
        <v>184.00000000000003</v>
      </c>
      <c r="R31" s="51">
        <f t="shared" si="29"/>
        <v>193.70000000000002</v>
      </c>
      <c r="S31" s="51">
        <f t="shared" si="29"/>
        <v>377.7</v>
      </c>
      <c r="T31" s="51">
        <f t="shared" si="29"/>
        <v>213.70000000000002</v>
      </c>
      <c r="U31" s="51">
        <f t="shared" si="29"/>
        <v>591.4</v>
      </c>
      <c r="V31" s="51">
        <f t="shared" si="29"/>
        <v>111.70000000000003</v>
      </c>
      <c r="W31" s="51">
        <f>IFERROR(W24+W26+W27,"n.a.")</f>
        <v>703.09999999999991</v>
      </c>
      <c r="X31" s="51">
        <f t="shared" ref="X31:AC31" si="30">IFERROR(X24+X26+X27,"n.a.")</f>
        <v>183.07499999999999</v>
      </c>
      <c r="Y31" s="51">
        <f t="shared" si="30"/>
        <v>241.92499999999998</v>
      </c>
      <c r="Z31" s="51">
        <f t="shared" si="30"/>
        <v>425</v>
      </c>
      <c r="AA31" s="51">
        <f t="shared" si="30"/>
        <v>172.89999999999995</v>
      </c>
      <c r="AB31" s="51">
        <f t="shared" si="30"/>
        <v>597.9</v>
      </c>
      <c r="AC31" s="51">
        <f t="shared" si="30"/>
        <v>144.80500000000006</v>
      </c>
      <c r="AD31" s="51">
        <f>IFERROR(AD24+AD26+AD27,"n.a.")</f>
        <v>742.70500000000004</v>
      </c>
      <c r="AE31" s="51">
        <f t="shared" ref="AE31:AJ31" si="31">IFERROR(AE24+AE26+AE27,"n.a.")</f>
        <v>88.370999999999981</v>
      </c>
      <c r="AF31" s="51">
        <f t="shared" si="31"/>
        <v>-145.15899999999999</v>
      </c>
      <c r="AG31" s="51">
        <f t="shared" si="31"/>
        <v>-56.787999999999997</v>
      </c>
      <c r="AH31" s="51">
        <f>IFERROR(AH24+AH26+AH27,"n.a.")</f>
        <v>152.39999999999998</v>
      </c>
      <c r="AI31" s="51">
        <f t="shared" si="31"/>
        <v>95.612000000000009</v>
      </c>
      <c r="AJ31" s="51">
        <f t="shared" si="31"/>
        <v>123.526</v>
      </c>
      <c r="AK31" s="51">
        <f>IFERROR(AK24+AK26+AK27,"n.a.")</f>
        <v>219.13800000000003</v>
      </c>
      <c r="AL31" s="2"/>
      <c r="AM31" s="182"/>
      <c r="AN31" s="2"/>
      <c r="AO31" s="2"/>
      <c r="AP31" s="2"/>
      <c r="AQ31" s="2"/>
    </row>
    <row r="32" spans="1:43" x14ac:dyDescent="0.3">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row>
    <row r="33" spans="1:44" outlineLevel="1" x14ac:dyDescent="0.3">
      <c r="A33" s="39" t="s">
        <v>17</v>
      </c>
      <c r="B33" s="45"/>
      <c r="C33" s="45">
        <v>-42.5</v>
      </c>
      <c r="D33" s="81">
        <f>E33-C33</f>
        <v>-6.2999999999999972</v>
      </c>
      <c r="E33" s="45">
        <v>-48.8</v>
      </c>
      <c r="F33" s="81">
        <f>G33-E33</f>
        <v>-3.9000000000000057</v>
      </c>
      <c r="G33" s="45">
        <v>-52.7</v>
      </c>
      <c r="H33" s="81">
        <f>I33-G33</f>
        <v>32.681000000000004</v>
      </c>
      <c r="I33" s="56">
        <f>'Fin. Highlights - FY'!F33</f>
        <v>-20.018999999999998</v>
      </c>
      <c r="J33" s="45">
        <v>-3.1</v>
      </c>
      <c r="K33" s="81">
        <f>L33-J33</f>
        <v>-9.8000000000000007</v>
      </c>
      <c r="L33" s="45">
        <v>-12.9</v>
      </c>
      <c r="M33" s="81">
        <f>N33-L33</f>
        <v>-5.7000000000000011</v>
      </c>
      <c r="N33" s="45">
        <v>-18.600000000000001</v>
      </c>
      <c r="O33" s="81">
        <f>P33-N33</f>
        <v>11.745000000000001</v>
      </c>
      <c r="P33" s="56">
        <f>'Fin. Highlights - FY'!G33</f>
        <v>-6.8550000000000004</v>
      </c>
      <c r="Q33" s="45">
        <v>0.8</v>
      </c>
      <c r="R33" s="81">
        <f>IFERROR(S33-Q33,"n.a.")</f>
        <v>-5.3</v>
      </c>
      <c r="S33" s="45">
        <v>-4.5</v>
      </c>
      <c r="T33" s="81">
        <f>IFERROR(U33-S33,"n.a.")</f>
        <v>-3.3</v>
      </c>
      <c r="U33" s="45">
        <v>-7.8</v>
      </c>
      <c r="V33" s="81">
        <f>IFERROR(W33-U33,"n.a.")</f>
        <v>2.8000000000000007</v>
      </c>
      <c r="W33" s="56">
        <f>'Fin. Highlights - FY'!H33</f>
        <v>-4.9999999999999991</v>
      </c>
      <c r="X33" s="45">
        <v>2.012</v>
      </c>
      <c r="Y33" s="81">
        <f>IFERROR(Z33-X33,"n.a.")</f>
        <v>8.8000000000000078E-2</v>
      </c>
      <c r="Z33" s="45">
        <v>2.1</v>
      </c>
      <c r="AA33" s="81">
        <f>IFERROR(AB33-Z33,"n.a.")</f>
        <v>-0.70000000000000018</v>
      </c>
      <c r="AB33" s="45">
        <v>1.4</v>
      </c>
      <c r="AC33" s="81">
        <f>IFERROR(AD33-AB33,"n.a.")</f>
        <v>-12.405000000000001</v>
      </c>
      <c r="AD33" s="56">
        <f>'Fin. Highlights - FY'!I33</f>
        <v>-11.005000000000001</v>
      </c>
      <c r="AE33" s="45">
        <v>-5.2880000000000003</v>
      </c>
      <c r="AF33" s="81">
        <f>IFERROR(AG33-AE33,"n.a.")</f>
        <v>0.65500000000000025</v>
      </c>
      <c r="AG33" s="45">
        <v>-4.633</v>
      </c>
      <c r="AH33" s="81">
        <f>IFERROR(AI33-AG33,"n.a.")</f>
        <v>-1.4749999999999996</v>
      </c>
      <c r="AI33" s="45">
        <v>-6.1079999999999997</v>
      </c>
      <c r="AJ33" s="81">
        <f>IFERROR(AK33-AI33,"n.a.")</f>
        <v>0.83699999999999974</v>
      </c>
      <c r="AK33" s="56">
        <f>'Fin. Highlights - FY'!J33</f>
        <v>-5.2709999999999999</v>
      </c>
    </row>
    <row r="34" spans="1:44" hidden="1" outlineLevel="2" x14ac:dyDescent="0.3">
      <c r="A34" s="32"/>
      <c r="B34" s="46"/>
      <c r="C34" s="46"/>
      <c r="D34" s="84"/>
      <c r="E34" s="46"/>
      <c r="F34" s="84"/>
      <c r="G34" s="46"/>
      <c r="H34" s="84"/>
      <c r="I34" s="78"/>
      <c r="J34" s="46"/>
      <c r="K34" s="84"/>
      <c r="L34" s="46"/>
      <c r="M34" s="84"/>
      <c r="N34" s="46"/>
      <c r="O34" s="84"/>
      <c r="P34" s="78"/>
      <c r="Q34" s="46"/>
      <c r="R34" s="84"/>
      <c r="S34" s="46"/>
      <c r="T34" s="84"/>
      <c r="U34" s="46"/>
      <c r="V34" s="84"/>
      <c r="W34" s="78"/>
      <c r="X34" s="46"/>
      <c r="Y34" s="84"/>
      <c r="Z34" s="46"/>
      <c r="AA34" s="84"/>
      <c r="AB34" s="46"/>
      <c r="AC34" s="84"/>
      <c r="AD34" s="78"/>
      <c r="AE34" s="46"/>
      <c r="AF34" s="84"/>
      <c r="AG34" s="46"/>
      <c r="AH34" s="84"/>
      <c r="AI34" s="46"/>
      <c r="AJ34" s="84"/>
      <c r="AK34" s="78"/>
    </row>
    <row r="35" spans="1:44" outlineLevel="1" collapsed="1" x14ac:dyDescent="0.3">
      <c r="A35" s="32" t="s">
        <v>118</v>
      </c>
      <c r="B35" s="46"/>
      <c r="C35" s="46">
        <v>-133.69999999999999</v>
      </c>
      <c r="D35" s="84">
        <f>E35-C35</f>
        <v>-118.70000000000002</v>
      </c>
      <c r="E35" s="46">
        <v>-252.4</v>
      </c>
      <c r="F35" s="84">
        <f>G35-E35</f>
        <v>-99.200000000000017</v>
      </c>
      <c r="G35" s="46">
        <v>-351.6</v>
      </c>
      <c r="H35" s="84">
        <f>I35-G35-0.07</f>
        <v>-75.659999999999968</v>
      </c>
      <c r="I35" s="78">
        <f>'Fin. Highlights - FY'!F35</f>
        <v>-427.19</v>
      </c>
      <c r="J35" s="46">
        <v>-77</v>
      </c>
      <c r="K35" s="84">
        <f>L35-J35</f>
        <v>-149.4</v>
      </c>
      <c r="L35" s="46">
        <v>-226.4</v>
      </c>
      <c r="M35" s="84">
        <f>N35-L35</f>
        <v>-63.500000000000028</v>
      </c>
      <c r="N35" s="46">
        <v>-289.90000000000003</v>
      </c>
      <c r="O35" s="84">
        <f>P35-N35</f>
        <v>-72.70999999999998</v>
      </c>
      <c r="P35" s="78">
        <f>'Fin. Highlights - FY'!G35</f>
        <v>-362.61</v>
      </c>
      <c r="Q35" s="46">
        <v>-55.200000000000031</v>
      </c>
      <c r="R35" s="84">
        <f t="shared" ref="R35:R36" si="32">IFERROR(S35-Q35,"n.a.")</f>
        <v>-62.799999999999969</v>
      </c>
      <c r="S35" s="46">
        <v>-118</v>
      </c>
      <c r="T35" s="84">
        <f t="shared" ref="T35:T36" si="33">IFERROR(U35-S35,"n.a.")</f>
        <v>-20.800000000000011</v>
      </c>
      <c r="U35" s="46">
        <v>-138.80000000000001</v>
      </c>
      <c r="V35" s="84">
        <f t="shared" ref="V35:V36" si="34">IFERROR(W35-U35,"n.a.")</f>
        <v>-57.500000000000057</v>
      </c>
      <c r="W35" s="78">
        <f>'Fin. Highlights - FY'!H35</f>
        <v>-196.30000000000007</v>
      </c>
      <c r="X35" s="46">
        <f>-41.352-6.72</f>
        <v>-48.071999999999996</v>
      </c>
      <c r="Y35" s="84">
        <f t="shared" ref="Y35:Y36" si="35">IFERROR(Z35-X35,"n.a.")</f>
        <v>38.07199999999996</v>
      </c>
      <c r="Z35" s="46">
        <v>-10.000000000000034</v>
      </c>
      <c r="AA35" s="84">
        <f t="shared" ref="AA35:AA36" si="36">IFERROR(AB35-Z35,"n.a.")</f>
        <v>-65.199999999999974</v>
      </c>
      <c r="AB35" s="46">
        <v>-75.2</v>
      </c>
      <c r="AC35" s="84">
        <f t="shared" ref="AC35:AC36" si="37">IFERROR(AD35-AB35,"n.a.")</f>
        <v>-34.278999999999996</v>
      </c>
      <c r="AD35" s="78">
        <f>'Fin. Highlights - FY'!I35</f>
        <v>-109.479</v>
      </c>
      <c r="AE35" s="46">
        <f>-26.604-5.87</f>
        <v>-32.473999999999997</v>
      </c>
      <c r="AF35" s="84">
        <f t="shared" ref="AF35:AF36" si="38">IFERROR(AG35-AE35,"n.a.")</f>
        <v>-40.576000000000015</v>
      </c>
      <c r="AG35" s="46">
        <f>-62.023-11.127+0.1</f>
        <v>-73.050000000000011</v>
      </c>
      <c r="AH35" s="84">
        <f>IFERROR(AI35-AG35+0.05,"n.a.")</f>
        <v>-40.216999999999985</v>
      </c>
      <c r="AI35" s="46">
        <v>-113.31699999999999</v>
      </c>
      <c r="AJ35" s="84">
        <f t="shared" ref="AJ35:AJ36" si="39">IFERROR(AK35-AI35,"n.a.")</f>
        <v>-43.112000000000009</v>
      </c>
      <c r="AK35" s="78">
        <f>'Fin. Highlights - FY'!J35</f>
        <v>-156.429</v>
      </c>
    </row>
    <row r="36" spans="1:44" outlineLevel="1" x14ac:dyDescent="0.3">
      <c r="A36" s="32" t="s">
        <v>19</v>
      </c>
      <c r="B36" s="46"/>
      <c r="C36" s="46">
        <v>-20.3</v>
      </c>
      <c r="D36" s="84">
        <f>E36-C36</f>
        <v>-26.400000000000002</v>
      </c>
      <c r="E36" s="46">
        <v>-46.7</v>
      </c>
      <c r="F36" s="84">
        <f>G36-E36</f>
        <v>-26.899999999999991</v>
      </c>
      <c r="G36" s="46">
        <v>-73.599999999999994</v>
      </c>
      <c r="H36" s="84">
        <f>I36-G36+0.05</f>
        <v>-1.6060000000000059</v>
      </c>
      <c r="I36" s="78">
        <f>'Fin. Highlights - FY'!F36</f>
        <v>-75.256</v>
      </c>
      <c r="J36" s="46">
        <v>-39.1</v>
      </c>
      <c r="K36" s="84">
        <f>L36-J36</f>
        <v>27.8</v>
      </c>
      <c r="L36" s="46">
        <v>-11.3</v>
      </c>
      <c r="M36" s="84">
        <f>N36-L36</f>
        <v>-22.400000000000002</v>
      </c>
      <c r="N36" s="46">
        <v>-33.700000000000003</v>
      </c>
      <c r="O36" s="84">
        <f>P36-N36</f>
        <v>-7.1479999999999961</v>
      </c>
      <c r="P36" s="78">
        <f>'Fin. Highlights - FY'!G36</f>
        <v>-40.847999999999999</v>
      </c>
      <c r="Q36" s="46">
        <v>-37.200000000000003</v>
      </c>
      <c r="R36" s="84">
        <f t="shared" si="32"/>
        <v>-36.099999999999994</v>
      </c>
      <c r="S36" s="46">
        <v>-73.3</v>
      </c>
      <c r="T36" s="84">
        <f t="shared" si="33"/>
        <v>6.5999999999999943</v>
      </c>
      <c r="U36" s="71">
        <v>-66.7</v>
      </c>
      <c r="V36" s="84">
        <f t="shared" si="34"/>
        <v>13.700000000000003</v>
      </c>
      <c r="W36" s="78">
        <f>'Fin. Highlights - FY'!H36</f>
        <v>-53</v>
      </c>
      <c r="X36" s="46">
        <v>-35.597000000000001</v>
      </c>
      <c r="Y36" s="84">
        <f t="shared" si="35"/>
        <v>-74.502999999999986</v>
      </c>
      <c r="Z36" s="46">
        <v>-110.1</v>
      </c>
      <c r="AA36" s="84">
        <f t="shared" si="36"/>
        <v>-28.300000000000011</v>
      </c>
      <c r="AB36" s="71">
        <v>-138.4</v>
      </c>
      <c r="AC36" s="84">
        <f t="shared" si="37"/>
        <v>-26.162000000000006</v>
      </c>
      <c r="AD36" s="78">
        <f>'Fin. Highlights - FY'!I36</f>
        <v>-164.56200000000001</v>
      </c>
      <c r="AE36" s="46">
        <v>-12.146000000000001</v>
      </c>
      <c r="AF36" s="84">
        <f t="shared" si="38"/>
        <v>44.927</v>
      </c>
      <c r="AG36" s="46">
        <f>32.881-0.1</f>
        <v>32.780999999999999</v>
      </c>
      <c r="AH36" s="84">
        <f t="shared" ref="AH36" si="40">IFERROR(AI36-AG36,"n.a.")</f>
        <v>-26.827999999999999</v>
      </c>
      <c r="AI36" s="71">
        <v>5.9530000000000003</v>
      </c>
      <c r="AJ36" s="84">
        <f t="shared" si="39"/>
        <v>-20.646000000000001</v>
      </c>
      <c r="AK36" s="78">
        <f>'Fin. Highlights - FY'!J36</f>
        <v>-14.693</v>
      </c>
    </row>
    <row r="37" spans="1:44" x14ac:dyDescent="0.3">
      <c r="A37" s="49" t="s">
        <v>174</v>
      </c>
      <c r="B37" s="50"/>
      <c r="C37" s="50" t="s">
        <v>175</v>
      </c>
      <c r="D37" s="50" t="s">
        <v>175</v>
      </c>
      <c r="E37" s="50" t="s">
        <v>175</v>
      </c>
      <c r="F37" s="50">
        <f>IFERROR(F36/SUM(F31,F33,F34,F35),"n.a.")</f>
        <v>-0.38929088277858215</v>
      </c>
      <c r="G37" s="50">
        <f>IFERROR(G36/SUM(G31,G33,G34,G35),"n.a.")</f>
        <v>-0.67276051188299857</v>
      </c>
      <c r="H37" s="50" t="s">
        <v>175</v>
      </c>
      <c r="I37" s="50">
        <f>IFERROR(I36/SUM(I31,I33,I34,I35),"n.a.")</f>
        <v>-0.31455883766714177</v>
      </c>
      <c r="J37" s="50">
        <f>IFERROR(J36/SUM(J31,J33,J34,J35),"n.a.")</f>
        <v>-0.4413092550790067</v>
      </c>
      <c r="K37" s="50" t="s">
        <v>175</v>
      </c>
      <c r="L37" s="50">
        <f t="shared" ref="L37:AE37" si="41">IFERROR(L36/SUM(L31,L33,L34,L35),"n.a.")</f>
        <v>-0.1432192648922688</v>
      </c>
      <c r="M37" s="50">
        <f t="shared" si="41"/>
        <v>-0.14573845152895246</v>
      </c>
      <c r="N37" s="50">
        <f t="shared" si="41"/>
        <v>-0.14488392089423907</v>
      </c>
      <c r="O37" s="50">
        <f t="shared" si="41"/>
        <v>-9.9923114559306539E-2</v>
      </c>
      <c r="P37" s="50">
        <f t="shared" si="41"/>
        <v>-0.13430877735216273</v>
      </c>
      <c r="Q37" s="50">
        <f t="shared" si="41"/>
        <v>-0.28703703703703703</v>
      </c>
      <c r="R37" s="50">
        <f t="shared" si="41"/>
        <v>-0.28742038216560495</v>
      </c>
      <c r="S37" s="50">
        <f t="shared" si="41"/>
        <v>-0.28722570532915359</v>
      </c>
      <c r="T37" s="50">
        <f t="shared" si="41"/>
        <v>3.4810126582278451E-2</v>
      </c>
      <c r="U37" s="50">
        <f t="shared" si="41"/>
        <v>-0.14995503597122303</v>
      </c>
      <c r="V37" s="50">
        <f t="shared" si="41"/>
        <v>0.24035087719298262</v>
      </c>
      <c r="W37" s="50">
        <f t="shared" si="41"/>
        <v>-0.1056197688322041</v>
      </c>
      <c r="X37" s="50">
        <f t="shared" si="41"/>
        <v>-0.25980367113089814</v>
      </c>
      <c r="Y37" s="50">
        <f t="shared" si="41"/>
        <v>-0.26600139243443954</v>
      </c>
      <c r="Z37" s="50">
        <f t="shared" si="41"/>
        <v>-0.26396547590505876</v>
      </c>
      <c r="AA37" s="50">
        <f t="shared" si="41"/>
        <v>-0.26448598130841133</v>
      </c>
      <c r="AB37" s="50">
        <f t="shared" si="41"/>
        <v>-0.26407174203396305</v>
      </c>
      <c r="AC37" s="50">
        <f t="shared" si="41"/>
        <v>-0.26662997727295878</v>
      </c>
      <c r="AD37" s="50">
        <f t="shared" si="41"/>
        <v>-0.26447516236192609</v>
      </c>
      <c r="AE37" s="50">
        <f t="shared" si="41"/>
        <v>-0.239996838506985</v>
      </c>
      <c r="AF37" s="50">
        <f t="shared" ref="AF37:AJ37" si="42">IFERROR(AF36/SUM(AF31,AF33,AF34,AF35),"n.a.")</f>
        <v>-0.24274367840933647</v>
      </c>
      <c r="AG37" s="50">
        <f t="shared" si="42"/>
        <v>-0.24377746874790845</v>
      </c>
      <c r="AH37" s="50">
        <f t="shared" si="42"/>
        <v>-0.24233117751201358</v>
      </c>
      <c r="AI37" s="50">
        <f t="shared" si="42"/>
        <v>-0.24998950153277635</v>
      </c>
      <c r="AJ37" s="50">
        <f t="shared" si="42"/>
        <v>-0.25410148798168641</v>
      </c>
      <c r="AK37" s="50">
        <f t="shared" ref="AK37" si="43">IFERROR(AK36/SUM(AK31,AK33,AK34,AK35),"n.a.")</f>
        <v>-0.2558062606636719</v>
      </c>
    </row>
    <row r="38" spans="1:44" s="25" customFormat="1" ht="13" x14ac:dyDescent="0.3">
      <c r="A38" s="42" t="s">
        <v>147</v>
      </c>
      <c r="B38" s="51"/>
      <c r="C38" s="51">
        <f t="shared" ref="C38:V38" si="44">IFERROR(C31+C33+C35+C36,"n.a.")</f>
        <v>-30.399999999999995</v>
      </c>
      <c r="D38" s="51">
        <f t="shared" si="44"/>
        <v>24.000000000000004</v>
      </c>
      <c r="E38" s="51">
        <f t="shared" si="44"/>
        <v>-6.4000000000000199</v>
      </c>
      <c r="F38" s="51">
        <f t="shared" si="44"/>
        <v>42.199999999999918</v>
      </c>
      <c r="G38" s="51">
        <f t="shared" si="44"/>
        <v>35.799999999999926</v>
      </c>
      <c r="H38" s="51">
        <f t="shared" si="44"/>
        <v>128.2170000000001</v>
      </c>
      <c r="I38" s="51">
        <f t="shared" si="44"/>
        <v>163.98699999999999</v>
      </c>
      <c r="J38" s="51">
        <f t="shared" si="44"/>
        <v>49.500000000000021</v>
      </c>
      <c r="K38" s="51">
        <f t="shared" si="44"/>
        <v>18.099999999999927</v>
      </c>
      <c r="L38" s="51">
        <f t="shared" si="44"/>
        <v>67.599999999999952</v>
      </c>
      <c r="M38" s="51">
        <f t="shared" si="44"/>
        <v>131.30000000000007</v>
      </c>
      <c r="N38" s="51">
        <f>IFERROR(N31+N33+N35+N36-0.1,"n.a.")</f>
        <v>198.79999999999998</v>
      </c>
      <c r="O38" s="51">
        <f t="shared" si="44"/>
        <v>64.387000000000029</v>
      </c>
      <c r="P38" s="51">
        <f t="shared" si="44"/>
        <v>263.28699999999986</v>
      </c>
      <c r="Q38" s="51">
        <f t="shared" si="44"/>
        <v>92.40000000000002</v>
      </c>
      <c r="R38" s="51">
        <f t="shared" si="44"/>
        <v>89.500000000000043</v>
      </c>
      <c r="S38" s="51">
        <f t="shared" si="44"/>
        <v>181.89999999999998</v>
      </c>
      <c r="T38" s="51">
        <f t="shared" si="44"/>
        <v>196.2</v>
      </c>
      <c r="U38" s="51">
        <f t="shared" si="44"/>
        <v>378.1</v>
      </c>
      <c r="V38" s="51">
        <f t="shared" si="44"/>
        <v>70.699999999999974</v>
      </c>
      <c r="W38" s="51">
        <f>IFERROR(W31+W33+W35+W36,"n.a.")</f>
        <v>448.79999999999984</v>
      </c>
      <c r="X38" s="51">
        <f t="shared" ref="X38:AC38" si="45">IFERROR(X31+X33+X35+X36,"n.a.")</f>
        <v>101.41799999999998</v>
      </c>
      <c r="Y38" s="51">
        <f t="shared" si="45"/>
        <v>205.58199999999994</v>
      </c>
      <c r="Z38" s="51">
        <f t="shared" si="45"/>
        <v>307</v>
      </c>
      <c r="AA38" s="51">
        <f t="shared" si="45"/>
        <v>78.699999999999974</v>
      </c>
      <c r="AB38" s="51">
        <f t="shared" si="45"/>
        <v>385.69999999999993</v>
      </c>
      <c r="AC38" s="51">
        <f t="shared" si="45"/>
        <v>71.95900000000006</v>
      </c>
      <c r="AD38" s="51">
        <f>IFERROR(AD31+AD33+AD35+AD36,"n.a.")</f>
        <v>457.65899999999999</v>
      </c>
      <c r="AE38" s="51">
        <f t="shared" ref="AE38:AJ38" si="46">IFERROR(AE31+AE33+AE35+AE36,"n.a.")</f>
        <v>38.462999999999987</v>
      </c>
      <c r="AF38" s="51">
        <f t="shared" si="46"/>
        <v>-140.15300000000002</v>
      </c>
      <c r="AG38" s="51">
        <f t="shared" si="46"/>
        <v>-101.69</v>
      </c>
      <c r="AH38" s="51">
        <f t="shared" si="46"/>
        <v>83.88</v>
      </c>
      <c r="AI38" s="51">
        <f t="shared" si="46"/>
        <v>-17.859999999999989</v>
      </c>
      <c r="AJ38" s="51">
        <f t="shared" si="46"/>
        <v>60.60499999999999</v>
      </c>
      <c r="AK38" s="51">
        <f>IFERROR(AK31+AK33+AK35+AK36,"n.a.")</f>
        <v>42.745000000000047</v>
      </c>
      <c r="AL38" s="178"/>
      <c r="AM38" s="178"/>
      <c r="AN38" s="178"/>
      <c r="AO38" s="178"/>
      <c r="AP38" s="178"/>
      <c r="AQ38" s="178"/>
      <c r="AR38" s="178"/>
    </row>
    <row r="39" spans="1:44" outlineLevel="1" x14ac:dyDescent="0.3">
      <c r="A39" s="64" t="s">
        <v>33</v>
      </c>
      <c r="B39" s="52"/>
      <c r="C39" s="52">
        <v>-19.7</v>
      </c>
      <c r="D39" s="86" t="s">
        <v>230</v>
      </c>
      <c r="E39" s="52" t="s">
        <v>230</v>
      </c>
      <c r="F39" s="86" t="s">
        <v>230</v>
      </c>
      <c r="G39" s="52">
        <v>-13.1</v>
      </c>
      <c r="H39" s="86">
        <f>I39-G39</f>
        <v>-3.2619999999999987</v>
      </c>
      <c r="I39" s="79">
        <f>'Fin. Highlights - FY'!F39</f>
        <v>-16.361999999999998</v>
      </c>
      <c r="J39" s="52">
        <v>-76.599999999999994</v>
      </c>
      <c r="K39" s="82" t="s">
        <v>230</v>
      </c>
      <c r="L39" s="52" t="s">
        <v>230</v>
      </c>
      <c r="M39" s="86" t="s">
        <v>230</v>
      </c>
      <c r="N39" s="52">
        <v>-75</v>
      </c>
      <c r="O39" s="86">
        <f>P39-N39</f>
        <v>-12.561999999999998</v>
      </c>
      <c r="P39" s="79">
        <f>'Fin. Highlights - FY'!G39</f>
        <v>-87.561999999999998</v>
      </c>
      <c r="Q39" s="52">
        <v>-3.339</v>
      </c>
      <c r="R39" s="86">
        <f>IFERROR(S39-Q39,"n.a.")</f>
        <v>-1.4029999999999991</v>
      </c>
      <c r="S39" s="52">
        <v>-4.7419999999999991</v>
      </c>
      <c r="T39" s="86">
        <f>IFERROR(U39-S39,"n.a.")</f>
        <v>-1.9580000000000011</v>
      </c>
      <c r="U39" s="70">
        <v>-6.7</v>
      </c>
      <c r="V39" s="86">
        <f>IFERROR(W39-U39,"n.a.")</f>
        <v>0.29100000000000037</v>
      </c>
      <c r="W39" s="79">
        <f>'Fin. Highlights - FY'!H39</f>
        <v>-6.4089999999999998</v>
      </c>
      <c r="X39" s="52">
        <v>0</v>
      </c>
      <c r="Y39" s="86">
        <f>IFERROR(Z39-X39,"n.a.")</f>
        <v>0</v>
      </c>
      <c r="Z39" s="52">
        <v>0</v>
      </c>
      <c r="AA39" s="86">
        <f>IFERROR(AB39-Z39,"n.a.")</f>
        <v>0</v>
      </c>
      <c r="AB39" s="70">
        <v>0</v>
      </c>
      <c r="AC39" s="86">
        <f>IFERROR(AD39-AB39,"n.a.")</f>
        <v>0</v>
      </c>
      <c r="AD39" s="79">
        <f>'Fin. Highlights - FY'!I39</f>
        <v>0</v>
      </c>
      <c r="AE39" s="52">
        <v>0</v>
      </c>
      <c r="AF39" s="86">
        <f>IFERROR(AG39-AE39,"n.a.")</f>
        <v>0</v>
      </c>
      <c r="AG39" s="52">
        <v>0</v>
      </c>
      <c r="AH39" s="86">
        <f>IFERROR(AI39-AG39,"n.a.")</f>
        <v>0</v>
      </c>
      <c r="AI39" s="70">
        <v>0</v>
      </c>
      <c r="AJ39" s="86">
        <f>IFERROR(AK39-AI39,"n.a.")</f>
        <v>0</v>
      </c>
      <c r="AK39" s="79">
        <f>'Fin. Highlights - FY'!J39</f>
        <v>0</v>
      </c>
    </row>
    <row r="40" spans="1:44" s="25" customFormat="1" ht="13" x14ac:dyDescent="0.3">
      <c r="A40" s="42" t="s">
        <v>335</v>
      </c>
      <c r="B40" s="51"/>
      <c r="C40" s="51">
        <f t="shared" ref="C40:V40" si="47">IFERROR(C31+C33+C34+C35+C36+C39,"n.a.")</f>
        <v>-50.099999999999994</v>
      </c>
      <c r="D40" s="51" t="str">
        <f t="shared" si="47"/>
        <v>n.a.</v>
      </c>
      <c r="E40" s="51" t="str">
        <f t="shared" si="47"/>
        <v>n.a.</v>
      </c>
      <c r="F40" s="51" t="str">
        <f t="shared" si="47"/>
        <v>n.a.</v>
      </c>
      <c r="G40" s="51">
        <f t="shared" si="47"/>
        <v>22.699999999999925</v>
      </c>
      <c r="H40" s="51">
        <f t="shared" si="47"/>
        <v>124.9550000000001</v>
      </c>
      <c r="I40" s="51">
        <f t="shared" si="47"/>
        <v>147.625</v>
      </c>
      <c r="J40" s="51">
        <f t="shared" si="47"/>
        <v>-27.099999999999973</v>
      </c>
      <c r="K40" s="122" t="str">
        <f t="shared" si="47"/>
        <v>n.a.</v>
      </c>
      <c r="L40" s="51" t="str">
        <f t="shared" si="47"/>
        <v>n.a.</v>
      </c>
      <c r="M40" s="51" t="str">
        <f t="shared" si="47"/>
        <v>n.a.</v>
      </c>
      <c r="N40" s="51">
        <f t="shared" si="47"/>
        <v>123.89999999999998</v>
      </c>
      <c r="O40" s="51">
        <f t="shared" si="47"/>
        <v>51.825000000000031</v>
      </c>
      <c r="P40" s="51">
        <f t="shared" si="47"/>
        <v>175.72499999999985</v>
      </c>
      <c r="Q40" s="51">
        <f t="shared" si="47"/>
        <v>89.061000000000021</v>
      </c>
      <c r="R40" s="51">
        <f t="shared" si="47"/>
        <v>88.097000000000037</v>
      </c>
      <c r="S40" s="51">
        <f t="shared" si="47"/>
        <v>177.15799999999999</v>
      </c>
      <c r="T40" s="51">
        <f t="shared" si="47"/>
        <v>194.24199999999999</v>
      </c>
      <c r="U40" s="51">
        <f t="shared" si="47"/>
        <v>371.40000000000003</v>
      </c>
      <c r="V40" s="51">
        <f t="shared" si="47"/>
        <v>70.990999999999971</v>
      </c>
      <c r="W40" s="51">
        <f>IFERROR(W31+W33+W34+W35+W36+W39,"n.a.")</f>
        <v>442.39099999999985</v>
      </c>
      <c r="X40" s="51">
        <f t="shared" ref="X40:AC40" si="48">IFERROR(X31+X33+X34+X35+X36+X39,"n.a.")</f>
        <v>101.41799999999998</v>
      </c>
      <c r="Y40" s="51">
        <f t="shared" si="48"/>
        <v>205.58199999999994</v>
      </c>
      <c r="Z40" s="51">
        <f t="shared" si="48"/>
        <v>307</v>
      </c>
      <c r="AA40" s="51">
        <f t="shared" si="48"/>
        <v>78.699999999999974</v>
      </c>
      <c r="AB40" s="51">
        <f t="shared" si="48"/>
        <v>385.69999999999993</v>
      </c>
      <c r="AC40" s="51">
        <f t="shared" si="48"/>
        <v>71.95900000000006</v>
      </c>
      <c r="AD40" s="51">
        <f>IFERROR(AD31+AD33+AD34+AD35+AD36+AD39,"n.a.")</f>
        <v>457.65899999999999</v>
      </c>
      <c r="AE40" s="51">
        <f t="shared" ref="AE40:AJ40" si="49">IFERROR(AE31+AE33+AE34+AE35+AE36+AE39,"n.a.")</f>
        <v>38.462999999999987</v>
      </c>
      <c r="AF40" s="51">
        <f t="shared" si="49"/>
        <v>-140.15300000000002</v>
      </c>
      <c r="AG40" s="51">
        <f t="shared" si="49"/>
        <v>-101.69</v>
      </c>
      <c r="AH40" s="51">
        <f t="shared" si="49"/>
        <v>83.88</v>
      </c>
      <c r="AI40" s="51">
        <f t="shared" si="49"/>
        <v>-17.859999999999989</v>
      </c>
      <c r="AJ40" s="51">
        <f t="shared" si="49"/>
        <v>60.60499999999999</v>
      </c>
      <c r="AK40" s="51">
        <f>IFERROR(AK31+AK33+AK34+AK35+AK36+AK39,"n.a.")</f>
        <v>42.745000000000047</v>
      </c>
      <c r="AM40" s="178"/>
    </row>
    <row r="41" spans="1:44" x14ac:dyDescent="0.3">
      <c r="A41" s="64" t="s">
        <v>31</v>
      </c>
      <c r="B41" s="73"/>
      <c r="C41" s="73">
        <v>0.6</v>
      </c>
      <c r="D41" s="86" t="s">
        <v>230</v>
      </c>
      <c r="E41" s="73">
        <v>4.5999999999999996</v>
      </c>
      <c r="F41" s="86" t="s">
        <v>230</v>
      </c>
      <c r="G41" s="73">
        <v>6</v>
      </c>
      <c r="H41" s="86">
        <f>I41-G41</f>
        <v>6.5619999999999994</v>
      </c>
      <c r="I41" s="79">
        <f>'Fin. Highlights - FY'!F41</f>
        <v>12.561999999999999</v>
      </c>
      <c r="J41" s="73">
        <v>0.8</v>
      </c>
      <c r="K41" s="82" t="s">
        <v>230</v>
      </c>
      <c r="L41" s="172">
        <v>0.6</v>
      </c>
      <c r="M41" s="86" t="s">
        <v>230</v>
      </c>
      <c r="N41" s="73">
        <v>0.3</v>
      </c>
      <c r="O41" s="86">
        <f>P41-N41</f>
        <v>-0.9850000000000001</v>
      </c>
      <c r="P41" s="79">
        <f>'Fin. Highlights - FY'!G41</f>
        <v>-0.68500000000000005</v>
      </c>
      <c r="Q41" s="172">
        <v>-1.3</v>
      </c>
      <c r="R41" s="86">
        <f>IFERROR(S41-Q41,"n.a.")</f>
        <v>6.5</v>
      </c>
      <c r="S41" s="172">
        <v>5.2</v>
      </c>
      <c r="T41" s="86">
        <f>IFERROR(U41-S41,"n.a.")</f>
        <v>3.7</v>
      </c>
      <c r="U41" s="172">
        <v>8.9</v>
      </c>
      <c r="V41" s="86">
        <f>IFERROR(W41-U41,"n.a.")</f>
        <v>1.9000000000000004</v>
      </c>
      <c r="W41" s="79">
        <f>'Fin. Highlights - FY'!H41</f>
        <v>10.8</v>
      </c>
      <c r="X41" s="172">
        <v>3.8</v>
      </c>
      <c r="Y41" s="86">
        <f>IFERROR(Z41-X41,"n.a.")</f>
        <v>5.3</v>
      </c>
      <c r="Z41" s="172">
        <v>9.1</v>
      </c>
      <c r="AA41" s="86">
        <f>IFERROR(AB41-Z41,"n.a.")</f>
        <v>3.9000000000000004</v>
      </c>
      <c r="AB41" s="172">
        <v>13</v>
      </c>
      <c r="AC41" s="86">
        <f>IFERROR(AD41-AB41,"n.a.")</f>
        <v>6.6000000000000014</v>
      </c>
      <c r="AD41" s="79">
        <f>'Fin. Highlights - FY'!I41</f>
        <v>19.600000000000001</v>
      </c>
      <c r="AE41" s="172">
        <v>1.3</v>
      </c>
      <c r="AF41" s="86">
        <f>IFERROR(AG41-AE41,"n.a.")</f>
        <v>0.30000000000000004</v>
      </c>
      <c r="AG41" s="172">
        <v>1.6</v>
      </c>
      <c r="AH41" s="86">
        <f>IFERROR(AI41-AG41,"n.a.")</f>
        <v>4.1240000000000006</v>
      </c>
      <c r="AI41" s="172">
        <v>5.7240000000000002</v>
      </c>
      <c r="AJ41" s="86">
        <f>IFERROR(AK41-AI41,"n.a.")</f>
        <v>7.1760000000000002</v>
      </c>
      <c r="AK41" s="79">
        <f>'Fin. Highlights - FY'!J41</f>
        <v>12.9</v>
      </c>
    </row>
    <row r="42" spans="1:44" x14ac:dyDescent="0.3">
      <c r="B42" s="68"/>
      <c r="C42" s="68"/>
      <c r="D42" s="68"/>
      <c r="E42" s="68"/>
      <c r="F42" s="68"/>
      <c r="G42" s="68"/>
      <c r="H42" s="68"/>
      <c r="I42" s="68"/>
      <c r="J42" s="68"/>
      <c r="K42" s="179"/>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row>
    <row r="43" spans="1:44" outlineLevel="1" x14ac:dyDescent="0.3">
      <c r="A43" s="39" t="s">
        <v>234</v>
      </c>
      <c r="B43" s="45"/>
      <c r="C43" s="45">
        <v>37.5</v>
      </c>
      <c r="D43" s="81">
        <f t="shared" ref="D43:D45" si="50">E43-C43</f>
        <v>34.199999999999989</v>
      </c>
      <c r="E43" s="45">
        <v>71.699999999999989</v>
      </c>
      <c r="F43" s="81">
        <f t="shared" ref="F43:F45" si="51">G43-E43</f>
        <v>35.300000000000011</v>
      </c>
      <c r="G43" s="45">
        <v>107</v>
      </c>
      <c r="H43" s="81">
        <f t="shared" ref="H43:H45" si="52">I43-G43</f>
        <v>50.871000000000009</v>
      </c>
      <c r="I43" s="56">
        <f>'Fin. Highlights - FY'!F43</f>
        <v>157.87100000000001</v>
      </c>
      <c r="J43" s="45">
        <v>36.299999999999997</v>
      </c>
      <c r="K43" s="81" t="s">
        <v>175</v>
      </c>
      <c r="L43" s="45">
        <v>98</v>
      </c>
      <c r="M43" s="81" t="s">
        <v>175</v>
      </c>
      <c r="N43" s="45">
        <v>101.10000000000001</v>
      </c>
      <c r="O43" s="81">
        <f t="shared" ref="O43:O45" si="53">P43-N43</f>
        <v>101.7</v>
      </c>
      <c r="P43" s="56">
        <f>'Fin. Highlights - FY'!G43</f>
        <v>202.8</v>
      </c>
      <c r="Q43" s="45">
        <v>34.4</v>
      </c>
      <c r="R43" s="81">
        <f t="shared" ref="R43:R45" si="54">IFERROR(S43-Q43,"n.a.")</f>
        <v>46.62</v>
      </c>
      <c r="S43" s="45">
        <v>81.02</v>
      </c>
      <c r="T43" s="81">
        <f t="shared" ref="T43:T45" si="55">IFERROR(U43-S43,"n.a.")</f>
        <v>27.680000000000007</v>
      </c>
      <c r="U43" s="45">
        <v>108.7</v>
      </c>
      <c r="V43" s="81">
        <f t="shared" ref="V43:V45" si="56">IFERROR(W43-U43,"n.a.")</f>
        <v>143.22900000000004</v>
      </c>
      <c r="W43" s="56">
        <f>'Fin. Highlights - FY'!H43</f>
        <v>251.92900000000003</v>
      </c>
      <c r="X43" s="45">
        <v>36.093000000000004</v>
      </c>
      <c r="Y43" s="81">
        <f t="shared" ref="Y43:Y45" si="57">IFERROR(Z43-X43,"n.a.")</f>
        <v>-20.637000000000004</v>
      </c>
      <c r="Z43" s="45">
        <v>15.456</v>
      </c>
      <c r="AA43" s="81">
        <f t="shared" ref="AA43:AA45" si="58">IFERROR(AB43-Z43,"n.a.")</f>
        <v>71.634999999999991</v>
      </c>
      <c r="AB43" s="45">
        <v>87.090999999999994</v>
      </c>
      <c r="AC43" s="81">
        <f t="shared" ref="AC43:AC45" si="59">IFERROR(AD43-AB43,"n.a.")</f>
        <v>87.509</v>
      </c>
      <c r="AD43" s="56">
        <f>'Fin. Highlights - FY'!I43</f>
        <v>174.6</v>
      </c>
      <c r="AE43" s="45">
        <v>52.718000000000004</v>
      </c>
      <c r="AF43" s="81">
        <f t="shared" ref="AF43:AF45" si="60">IFERROR(AG43-AE43,"n.a.")</f>
        <v>70.72699999999999</v>
      </c>
      <c r="AG43" s="45">
        <v>123.44499999999999</v>
      </c>
      <c r="AH43" s="81">
        <f t="shared" ref="AH43:AH45" si="61">IFERROR(AI43-AG43,"n.a.")</f>
        <v>61.425000000000011</v>
      </c>
      <c r="AI43" s="90">
        <v>184.87</v>
      </c>
      <c r="AJ43" s="81">
        <f t="shared" ref="AJ43:AJ45" si="62">IFERROR(AK43-AI43,"n.a.")</f>
        <v>97.231999999999971</v>
      </c>
      <c r="AK43" s="56">
        <f>'Fin. Highlights - FY'!J43</f>
        <v>282.10199999999998</v>
      </c>
    </row>
    <row r="44" spans="1:44" outlineLevel="1" x14ac:dyDescent="0.3">
      <c r="A44" s="39" t="s">
        <v>235</v>
      </c>
      <c r="B44" s="45"/>
      <c r="C44" s="45">
        <v>25.4</v>
      </c>
      <c r="D44" s="81">
        <f t="shared" si="50"/>
        <v>0</v>
      </c>
      <c r="E44" s="45">
        <v>25.4</v>
      </c>
      <c r="F44" s="81">
        <f t="shared" si="51"/>
        <v>0</v>
      </c>
      <c r="G44" s="45">
        <v>25.4</v>
      </c>
      <c r="H44" s="81">
        <f t="shared" si="52"/>
        <v>0</v>
      </c>
      <c r="I44" s="56">
        <f>'Fin. Highlights - FY'!F44</f>
        <v>25.4</v>
      </c>
      <c r="J44" s="45">
        <v>0</v>
      </c>
      <c r="K44" s="81" t="s">
        <v>175</v>
      </c>
      <c r="L44" s="45">
        <v>61.2</v>
      </c>
      <c r="M44" s="81" t="s">
        <v>175</v>
      </c>
      <c r="N44" s="45">
        <v>61.2</v>
      </c>
      <c r="O44" s="81">
        <f t="shared" si="53"/>
        <v>-5.0000000000004263E-2</v>
      </c>
      <c r="P44" s="56">
        <f>'Fin. Highlights - FY'!G44</f>
        <v>61.15</v>
      </c>
      <c r="Q44" s="45">
        <v>-6.0509999999999966</v>
      </c>
      <c r="R44" s="81">
        <f t="shared" si="54"/>
        <v>3.0459999999999989</v>
      </c>
      <c r="S44" s="45">
        <v>-3.0049999999999977</v>
      </c>
      <c r="T44" s="81">
        <f t="shared" si="55"/>
        <v>3.3309999999999977</v>
      </c>
      <c r="U44" s="45">
        <v>0.32600000000000001</v>
      </c>
      <c r="V44" s="81">
        <f t="shared" si="56"/>
        <v>1.8230000000000022</v>
      </c>
      <c r="W44" s="56">
        <f>'Fin. Highlights - FY'!H44</f>
        <v>2.1490000000000022</v>
      </c>
      <c r="X44" s="45">
        <v>0</v>
      </c>
      <c r="Y44" s="81">
        <f t="shared" si="57"/>
        <v>-99.825999999999993</v>
      </c>
      <c r="Z44" s="45">
        <v>-99.825999999999993</v>
      </c>
      <c r="AA44" s="81">
        <f t="shared" si="58"/>
        <v>-0.75600000000000023</v>
      </c>
      <c r="AB44" s="45">
        <v>-100.58199999999999</v>
      </c>
      <c r="AC44" s="81">
        <f t="shared" si="59"/>
        <v>-6.7180000000000035</v>
      </c>
      <c r="AD44" s="56">
        <f>'Fin. Highlights - FY'!I44</f>
        <v>-107.3</v>
      </c>
      <c r="AE44" s="45">
        <v>0</v>
      </c>
      <c r="AF44" s="81">
        <f t="shared" si="60"/>
        <v>0</v>
      </c>
      <c r="AG44" s="45">
        <v>0</v>
      </c>
      <c r="AH44" s="81">
        <f t="shared" si="61"/>
        <v>0</v>
      </c>
      <c r="AI44" s="90">
        <v>0</v>
      </c>
      <c r="AJ44" s="81">
        <f t="shared" si="62"/>
        <v>0</v>
      </c>
      <c r="AK44" s="56">
        <f>'Fin. Highlights - FY'!J44</f>
        <v>0</v>
      </c>
    </row>
    <row r="45" spans="1:44" outlineLevel="1" x14ac:dyDescent="0.3">
      <c r="A45" s="39" t="s">
        <v>34</v>
      </c>
      <c r="B45" s="45"/>
      <c r="C45" s="45">
        <v>-15.672699999999999</v>
      </c>
      <c r="D45" s="81">
        <f t="shared" si="50"/>
        <v>-9.8171999999999997</v>
      </c>
      <c r="E45" s="45">
        <v>-25.489899999999999</v>
      </c>
      <c r="F45" s="81">
        <f t="shared" si="51"/>
        <v>-10.161500000000004</v>
      </c>
      <c r="G45" s="45">
        <v>-35.651400000000002</v>
      </c>
      <c r="H45" s="81">
        <f t="shared" si="52"/>
        <v>-15.0486</v>
      </c>
      <c r="I45" s="56">
        <f>'Fin. Highlights - FY'!F45</f>
        <v>-50.7</v>
      </c>
      <c r="J45" s="45">
        <v>-10.127699999999999</v>
      </c>
      <c r="K45" s="81" t="s">
        <v>175</v>
      </c>
      <c r="L45" s="45">
        <v>-67.78009999999999</v>
      </c>
      <c r="M45" s="81" t="s">
        <v>175</v>
      </c>
      <c r="N45" s="45">
        <v>-103.60919999999999</v>
      </c>
      <c r="O45" s="81">
        <f t="shared" si="53"/>
        <v>-36.790800000000019</v>
      </c>
      <c r="P45" s="56">
        <f>'Fin. Highlights - FY'!G45</f>
        <v>-140.4</v>
      </c>
      <c r="Q45" s="45">
        <v>-7.4170225944794392</v>
      </c>
      <c r="R45" s="81">
        <f t="shared" si="54"/>
        <v>-13.713317405520554</v>
      </c>
      <c r="S45" s="45">
        <v>-21.130339999999993</v>
      </c>
      <c r="T45" s="81">
        <f t="shared" si="55"/>
        <v>-62.48266000000001</v>
      </c>
      <c r="U45" s="45">
        <v>-83.613</v>
      </c>
      <c r="V45" s="81">
        <f t="shared" si="56"/>
        <v>-42.864999999999995</v>
      </c>
      <c r="W45" s="56">
        <f>'Fin. Highlights - FY'!H45</f>
        <v>-126.47799999999999</v>
      </c>
      <c r="X45" s="45">
        <v>-14.125999999999999</v>
      </c>
      <c r="Y45" s="81">
        <f t="shared" si="57"/>
        <v>47.646000000000001</v>
      </c>
      <c r="Z45" s="45">
        <v>33.520000000000003</v>
      </c>
      <c r="AA45" s="81">
        <f t="shared" si="58"/>
        <v>-25.306000000000004</v>
      </c>
      <c r="AB45" s="45">
        <v>8.2140000000000004</v>
      </c>
      <c r="AC45" s="81">
        <f t="shared" si="59"/>
        <v>-18.914000000000001</v>
      </c>
      <c r="AD45" s="56">
        <f>'Fin. Highlights - FY'!I45</f>
        <v>-10.7</v>
      </c>
      <c r="AE45" s="45">
        <v>-14.907</v>
      </c>
      <c r="AF45" s="81">
        <f t="shared" si="60"/>
        <v>-20.187000000000001</v>
      </c>
      <c r="AG45" s="45">
        <v>-35.094000000000001</v>
      </c>
      <c r="AH45" s="81">
        <f t="shared" si="61"/>
        <v>-16.692999999999998</v>
      </c>
      <c r="AI45" s="90">
        <v>-51.786999999999999</v>
      </c>
      <c r="AJ45" s="81">
        <f t="shared" si="62"/>
        <v>-27.496000000000002</v>
      </c>
      <c r="AK45" s="56">
        <f>'Fin. Highlights - FY'!J45</f>
        <v>-79.283000000000001</v>
      </c>
      <c r="AM45" s="236"/>
    </row>
    <row r="46" spans="1:44" s="25" customFormat="1" ht="13" x14ac:dyDescent="0.3">
      <c r="A46" s="103" t="s">
        <v>304</v>
      </c>
      <c r="B46" s="105"/>
      <c r="C46" s="106">
        <f t="shared" ref="C46:T46" si="63">IFERROR(C38+C43+C44+C45,"n.a.")</f>
        <v>16.827300000000001</v>
      </c>
      <c r="D46" s="106">
        <f t="shared" si="63"/>
        <v>48.382799999999989</v>
      </c>
      <c r="E46" s="106">
        <f t="shared" si="63"/>
        <v>65.210099999999954</v>
      </c>
      <c r="F46" s="106">
        <f t="shared" si="63"/>
        <v>67.338499999999925</v>
      </c>
      <c r="G46" s="106">
        <f t="shared" si="63"/>
        <v>132.54859999999994</v>
      </c>
      <c r="H46" s="106">
        <f t="shared" si="63"/>
        <v>164.03940000000011</v>
      </c>
      <c r="I46" s="106">
        <f t="shared" si="63"/>
        <v>296.55799999999999</v>
      </c>
      <c r="J46" s="106">
        <f t="shared" si="63"/>
        <v>75.672300000000007</v>
      </c>
      <c r="K46" s="106" t="str">
        <f t="shared" si="63"/>
        <v>n.a.</v>
      </c>
      <c r="L46" s="106">
        <f t="shared" si="63"/>
        <v>159.01989999999995</v>
      </c>
      <c r="M46" s="106" t="str">
        <f t="shared" si="63"/>
        <v>n.a.</v>
      </c>
      <c r="N46" s="106">
        <f t="shared" si="63"/>
        <v>257.49079999999998</v>
      </c>
      <c r="O46" s="106">
        <f t="shared" si="63"/>
        <v>129.24620000000002</v>
      </c>
      <c r="P46" s="106">
        <f t="shared" si="63"/>
        <v>386.83699999999988</v>
      </c>
      <c r="Q46" s="106">
        <f t="shared" si="63"/>
        <v>113.33197740552058</v>
      </c>
      <c r="R46" s="106">
        <f t="shared" si="63"/>
        <v>125.45268259447947</v>
      </c>
      <c r="S46" s="106">
        <f t="shared" si="63"/>
        <v>238.78465999999997</v>
      </c>
      <c r="T46" s="106">
        <f t="shared" si="63"/>
        <v>164.72833999999997</v>
      </c>
      <c r="U46" s="106">
        <f t="shared" ref="U46:AG46" si="64">IFERROR(U38+U43+U44+U45,"n.a.")</f>
        <v>403.51300000000003</v>
      </c>
      <c r="V46" s="106">
        <f t="shared" si="64"/>
        <v>172.88700000000006</v>
      </c>
      <c r="W46" s="106">
        <f t="shared" si="64"/>
        <v>576.39999999999986</v>
      </c>
      <c r="X46" s="106">
        <f t="shared" si="64"/>
        <v>123.38499999999996</v>
      </c>
      <c r="Y46" s="106">
        <f t="shared" si="64"/>
        <v>132.76499999999993</v>
      </c>
      <c r="Z46" s="106">
        <f t="shared" si="64"/>
        <v>256.15000000000003</v>
      </c>
      <c r="AA46" s="106">
        <f t="shared" si="64"/>
        <v>124.27299999999997</v>
      </c>
      <c r="AB46" s="106">
        <f t="shared" si="64"/>
        <v>380.42299999999994</v>
      </c>
      <c r="AC46" s="106">
        <f t="shared" si="64"/>
        <v>133.83600000000007</v>
      </c>
      <c r="AD46" s="106">
        <f t="shared" si="64"/>
        <v>514.25900000000001</v>
      </c>
      <c r="AE46" s="106">
        <f t="shared" si="64"/>
        <v>76.273999999999987</v>
      </c>
      <c r="AF46" s="106">
        <f t="shared" si="64"/>
        <v>-89.613000000000028</v>
      </c>
      <c r="AG46" s="106">
        <f t="shared" si="64"/>
        <v>-13.339000000000006</v>
      </c>
      <c r="AH46" s="106">
        <f t="shared" ref="AH46:AJ46" si="65">IFERROR(AH38+AH43+AH44+AH45,"n.a.")</f>
        <v>128.61200000000002</v>
      </c>
      <c r="AI46" s="106">
        <f t="shared" si="65"/>
        <v>115.22300000000001</v>
      </c>
      <c r="AJ46" s="106">
        <f t="shared" si="65"/>
        <v>130.34099999999995</v>
      </c>
      <c r="AK46" s="106">
        <f t="shared" ref="AK46" si="66">IFERROR(AK38+AK43+AK44+AK45,"n.a.")</f>
        <v>245.56400000000002</v>
      </c>
      <c r="AM46" s="236"/>
    </row>
    <row r="47" spans="1:44" x14ac:dyDescent="0.3">
      <c r="A47" s="222" t="s">
        <v>305</v>
      </c>
      <c r="B47" s="50"/>
      <c r="C47" s="50">
        <f t="shared" ref="C47:AE47" si="67">IFERROR(C46/C7,"n.a.")</f>
        <v>1.4249555423829283E-2</v>
      </c>
      <c r="D47" s="50">
        <f t="shared" si="67"/>
        <v>3.8830497592295336E-2</v>
      </c>
      <c r="E47" s="50">
        <f t="shared" si="67"/>
        <v>2.6869710330050662E-2</v>
      </c>
      <c r="F47" s="50">
        <f t="shared" si="67"/>
        <v>5.2624648327602323E-2</v>
      </c>
      <c r="G47" s="50">
        <f t="shared" si="67"/>
        <v>3.5761122352623749E-2</v>
      </c>
      <c r="H47" s="50">
        <f t="shared" si="67"/>
        <v>0.1291754600376725</v>
      </c>
      <c r="I47" s="50">
        <f t="shared" si="67"/>
        <v>5.9592926286412898E-2</v>
      </c>
      <c r="J47" s="50">
        <f t="shared" si="67"/>
        <v>5.6501381318599268E-2</v>
      </c>
      <c r="K47" s="50" t="str">
        <f t="shared" si="67"/>
        <v>n.a.</v>
      </c>
      <c r="L47" s="50">
        <f t="shared" si="67"/>
        <v>5.9218672029195979E-2</v>
      </c>
      <c r="M47" s="50" t="str">
        <f t="shared" si="67"/>
        <v>n.a.</v>
      </c>
      <c r="N47" s="50">
        <f t="shared" si="67"/>
        <v>6.3759019437910111E-2</v>
      </c>
      <c r="O47" s="50">
        <f t="shared" si="67"/>
        <v>9.8377653420370012E-2</v>
      </c>
      <c r="P47" s="50">
        <f t="shared" si="67"/>
        <v>7.2275233937861186E-2</v>
      </c>
      <c r="Q47" s="50">
        <f t="shared" si="67"/>
        <v>8.6495528691561838E-2</v>
      </c>
      <c r="R47" s="50">
        <f t="shared" si="67"/>
        <v>9.5037319129538472E-2</v>
      </c>
      <c r="S47" s="50">
        <f t="shared" si="67"/>
        <v>9.078229099342279E-2</v>
      </c>
      <c r="T47" s="50">
        <f t="shared" si="67"/>
        <v>0.12721317476252988</v>
      </c>
      <c r="U47" s="50">
        <f t="shared" si="67"/>
        <v>0.10280062162437582</v>
      </c>
      <c r="V47" s="50">
        <f t="shared" si="67"/>
        <v>0.13621043376318873</v>
      </c>
      <c r="W47" s="50">
        <f t="shared" si="67"/>
        <v>0.11096428813444463</v>
      </c>
      <c r="X47" s="50">
        <f t="shared" si="67"/>
        <v>9.3914312941656405E-2</v>
      </c>
      <c r="Y47" s="50">
        <f t="shared" si="67"/>
        <v>9.900159503191179E-2</v>
      </c>
      <c r="Z47" s="50">
        <f t="shared" si="67"/>
        <v>9.6484048209253825E-2</v>
      </c>
      <c r="AA47" s="50">
        <f t="shared" si="67"/>
        <v>8.9952451646386142E-2</v>
      </c>
      <c r="AB47" s="50">
        <f t="shared" si="67"/>
        <v>9.4248465953685259E-2</v>
      </c>
      <c r="AC47" s="50">
        <f t="shared" si="67"/>
        <v>0.10401742794766959</v>
      </c>
      <c r="AD47" s="50">
        <f t="shared" si="67"/>
        <v>9.6609783896572141E-2</v>
      </c>
      <c r="AE47" s="50">
        <f t="shared" si="67"/>
        <v>7.2533312031891298E-2</v>
      </c>
      <c r="AF47" s="50">
        <f t="shared" ref="AF47:AJ47" si="68">IFERROR(AF46/AF7,"n.a.")</f>
        <v>-0.11716307754259947</v>
      </c>
      <c r="AG47" s="50">
        <f t="shared" si="68"/>
        <v>-7.3435295296430548E-3</v>
      </c>
      <c r="AH47" s="50">
        <f t="shared" si="68"/>
        <v>0.10068255778725713</v>
      </c>
      <c r="AI47" s="50">
        <f t="shared" si="68"/>
        <v>3.7242834932753259E-2</v>
      </c>
      <c r="AJ47" s="50">
        <f t="shared" si="68"/>
        <v>0.10787130028031088</v>
      </c>
      <c r="AK47" s="50">
        <f t="shared" ref="AK47" si="69">IFERROR(AK46/AK7,"n.a.")</f>
        <v>5.7079619379326201E-2</v>
      </c>
    </row>
    <row r="48" spans="1:44" x14ac:dyDescent="0.3">
      <c r="B48" s="74"/>
      <c r="C48" s="74"/>
      <c r="D48" s="74"/>
      <c r="E48" s="74"/>
      <c r="F48" s="74"/>
      <c r="G48" s="74"/>
      <c r="H48" s="74"/>
      <c r="I48" s="74"/>
      <c r="J48" s="74"/>
      <c r="K48" s="74"/>
      <c r="L48" s="74"/>
      <c r="M48" s="74"/>
      <c r="N48" s="74"/>
      <c r="O48" s="74"/>
      <c r="P48" s="74"/>
      <c r="Q48" s="74"/>
      <c r="R48" s="74"/>
      <c r="S48" s="74"/>
      <c r="T48" s="74"/>
      <c r="U48" s="228"/>
      <c r="V48" s="74"/>
      <c r="W48" s="74"/>
      <c r="X48" s="74"/>
      <c r="Y48" s="74"/>
      <c r="Z48" s="74"/>
      <c r="AA48" s="74"/>
      <c r="AB48" s="74"/>
      <c r="AC48" s="74"/>
      <c r="AD48" s="74"/>
      <c r="AE48" s="74"/>
      <c r="AF48" s="74"/>
      <c r="AG48" s="74"/>
      <c r="AH48" s="74"/>
      <c r="AI48" s="74"/>
      <c r="AJ48" s="74"/>
      <c r="AK48" s="74"/>
    </row>
    <row r="49" spans="1:38" x14ac:dyDescent="0.3">
      <c r="L49" s="44"/>
      <c r="S49" s="44"/>
      <c r="T49" s="185"/>
      <c r="Z49" s="44"/>
      <c r="AA49" s="185"/>
    </row>
    <row r="50" spans="1:38" s="63" customFormat="1" ht="25.5" customHeight="1" x14ac:dyDescent="0.3">
      <c r="A50" s="260" t="s">
        <v>205</v>
      </c>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row>
    <row r="51" spans="1:38" s="63" customFormat="1" ht="12.75" customHeight="1" x14ac:dyDescent="0.3">
      <c r="A51" s="260" t="s">
        <v>243</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row>
    <row r="52" spans="1:38" s="63" customFormat="1" ht="25.5" customHeight="1" x14ac:dyDescent="0.3">
      <c r="A52" s="260" t="s">
        <v>248</v>
      </c>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row>
    <row r="53" spans="1:38" ht="12.75" customHeight="1" x14ac:dyDescent="0.3">
      <c r="A53" s="260" t="s">
        <v>253</v>
      </c>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row>
    <row r="54" spans="1:38" ht="12.75" customHeight="1" x14ac:dyDescent="0.3">
      <c r="A54" s="260" t="s">
        <v>254</v>
      </c>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row>
    <row r="55" spans="1:38" x14ac:dyDescent="0.3">
      <c r="A55" s="260" t="s">
        <v>306</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row>
  </sheetData>
  <dataConsolidate/>
  <mergeCells count="6">
    <mergeCell ref="A55:AL55"/>
    <mergeCell ref="A50:AL50"/>
    <mergeCell ref="A51:AL51"/>
    <mergeCell ref="A52:AL52"/>
    <mergeCell ref="A53:AL53"/>
    <mergeCell ref="A54:AL54"/>
  </mergeCells>
  <pageMargins left="0" right="0" top="0" bottom="0" header="0" footer="0"/>
  <pageSetup paperSize="9" scale="80" orientation="landscape" r:id="rId1"/>
  <ignoredErrors>
    <ignoredError sqref="K16:Q16 AL15 AL16 H40 T40 R40 O40 Y40 AA40 V40 AC40 AF40 AF25 N38 AH40 AH25 AJ25 AJ40"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72"/>
  <sheetViews>
    <sheetView showGridLines="0" zoomScale="90" zoomScaleNormal="90" zoomScaleSheetLayoutView="100" workbookViewId="0">
      <pane xSplit="2" ySplit="6" topLeftCell="C7" activePane="bottomRight" state="frozen"/>
      <selection pane="topRight" activeCell="C1" sqref="C1"/>
      <selection pane="bottomLeft" activeCell="A8" sqref="A8"/>
      <selection pane="bottomRight"/>
    </sheetView>
  </sheetViews>
  <sheetFormatPr defaultColWidth="9" defaultRowHeight="12.5" outlineLevelRow="1" x14ac:dyDescent="0.3"/>
  <cols>
    <col min="1" max="1" width="50.58203125" style="2" customWidth="1"/>
    <col min="2" max="2" width="4.58203125" style="2" customWidth="1"/>
    <col min="3" max="10" width="12.58203125" style="2" customWidth="1"/>
    <col min="11" max="11" width="2.58203125" style="2" customWidth="1"/>
    <col min="12" max="16384" width="9" style="2"/>
  </cols>
  <sheetData>
    <row r="1" spans="1:12" s="9" customFormat="1" ht="27.75" customHeight="1" x14ac:dyDescent="0.3">
      <c r="A1" s="9" t="s">
        <v>354</v>
      </c>
      <c r="C1" s="10"/>
      <c r="D1" s="10"/>
      <c r="E1" s="10"/>
      <c r="F1" s="10"/>
      <c r="G1" s="10"/>
      <c r="H1" s="10"/>
      <c r="I1" s="10"/>
      <c r="J1" s="10"/>
    </row>
    <row r="2" spans="1:12" x14ac:dyDescent="0.3">
      <c r="A2" s="33" t="s">
        <v>192</v>
      </c>
      <c r="B2" s="33"/>
    </row>
    <row r="4" spans="1:12" ht="13.5" thickBot="1" x14ac:dyDescent="0.35">
      <c r="A4" s="12" t="s">
        <v>42</v>
      </c>
      <c r="B4" s="12"/>
      <c r="C4" s="207" t="s">
        <v>24</v>
      </c>
      <c r="D4" s="14" t="s">
        <v>25</v>
      </c>
      <c r="E4" s="14" t="s">
        <v>26</v>
      </c>
      <c r="F4" s="14" t="s">
        <v>26</v>
      </c>
      <c r="G4" s="14" t="s">
        <v>162</v>
      </c>
      <c r="H4" s="14" t="s">
        <v>265</v>
      </c>
      <c r="I4" s="14" t="s">
        <v>309</v>
      </c>
      <c r="J4" s="14" t="s">
        <v>338</v>
      </c>
    </row>
    <row r="5" spans="1:12" x14ac:dyDescent="0.3">
      <c r="C5" s="208" t="s">
        <v>178</v>
      </c>
      <c r="D5" s="41" t="s">
        <v>178</v>
      </c>
      <c r="E5" s="41" t="s">
        <v>178</v>
      </c>
      <c r="F5" s="41" t="s">
        <v>191</v>
      </c>
      <c r="G5" s="41" t="s">
        <v>177</v>
      </c>
      <c r="H5" s="41" t="s">
        <v>177</v>
      </c>
      <c r="I5" s="41" t="s">
        <v>177</v>
      </c>
      <c r="J5" s="41" t="s">
        <v>177</v>
      </c>
    </row>
    <row r="7" spans="1:12" x14ac:dyDescent="0.3">
      <c r="A7" s="15" t="s">
        <v>27</v>
      </c>
      <c r="B7" s="15"/>
      <c r="C7" s="203"/>
      <c r="D7" s="195">
        <v>7.0000000000000001E-3</v>
      </c>
      <c r="E7" s="195">
        <v>3.5000000000000003E-2</v>
      </c>
      <c r="F7" s="195">
        <v>3.5000000000000003E-2</v>
      </c>
      <c r="G7" s="195">
        <v>0.01</v>
      </c>
      <c r="H7" s="195">
        <v>-3.1E-2</v>
      </c>
      <c r="I7" s="195">
        <v>-0.02</v>
      </c>
      <c r="J7" s="195">
        <v>-0.153</v>
      </c>
    </row>
    <row r="8" spans="1:12" x14ac:dyDescent="0.3">
      <c r="A8" s="32" t="s">
        <v>14</v>
      </c>
      <c r="B8" s="32"/>
      <c r="C8" s="204"/>
      <c r="D8" s="197">
        <v>0.17100000000000001</v>
      </c>
      <c r="E8" s="197">
        <v>0.155</v>
      </c>
      <c r="F8" s="197">
        <v>0.155</v>
      </c>
      <c r="G8" s="197">
        <v>0.125</v>
      </c>
      <c r="H8" s="197">
        <v>0.11</v>
      </c>
      <c r="I8" s="197">
        <v>6.4000000000000001E-2</v>
      </c>
      <c r="J8" s="197">
        <v>-0.09</v>
      </c>
    </row>
    <row r="9" spans="1:12" ht="13" x14ac:dyDescent="0.3">
      <c r="A9" s="32" t="s">
        <v>13</v>
      </c>
      <c r="B9" s="32"/>
      <c r="C9" s="204"/>
      <c r="D9" s="198">
        <v>-5.8999999999999997E-2</v>
      </c>
      <c r="E9" s="198">
        <v>-2.3E-2</v>
      </c>
      <c r="F9" s="198">
        <v>-2.3E-2</v>
      </c>
      <c r="G9" s="197">
        <v>-5.2705769087852516E-2</v>
      </c>
      <c r="H9" s="197">
        <v>-0.14000000000000001</v>
      </c>
      <c r="I9" s="197">
        <v>-9.7000000000000003E-2</v>
      </c>
      <c r="J9" s="197">
        <v>-0.214</v>
      </c>
      <c r="L9" s="118"/>
    </row>
    <row r="10" spans="1:12" x14ac:dyDescent="0.3">
      <c r="C10" s="205"/>
      <c r="D10" s="200"/>
      <c r="E10" s="200"/>
      <c r="F10" s="200"/>
      <c r="G10" s="200"/>
      <c r="H10" s="200"/>
      <c r="I10" s="200"/>
      <c r="J10" s="200"/>
    </row>
    <row r="11" spans="1:12" x14ac:dyDescent="0.3">
      <c r="A11" s="15" t="s">
        <v>28</v>
      </c>
      <c r="B11" s="15"/>
      <c r="C11" s="203"/>
      <c r="D11" s="195">
        <v>4.1000000000000002E-2</v>
      </c>
      <c r="E11" s="195">
        <v>3.4000000000000002E-2</v>
      </c>
      <c r="F11" s="195">
        <v>3.4000000000000002E-2</v>
      </c>
      <c r="G11" s="195">
        <v>6.9000000000000006E-2</v>
      </c>
      <c r="H11" s="195">
        <v>6.8000000000000005E-2</v>
      </c>
      <c r="I11" s="195">
        <v>4.2000000000000003E-2</v>
      </c>
      <c r="J11" s="195">
        <v>1.2E-2</v>
      </c>
    </row>
    <row r="12" spans="1:12" x14ac:dyDescent="0.3">
      <c r="C12" s="205"/>
      <c r="D12" s="200"/>
      <c r="E12" s="200"/>
      <c r="F12" s="200"/>
      <c r="G12" s="200"/>
      <c r="H12" s="200"/>
      <c r="I12" s="200"/>
      <c r="J12" s="200"/>
    </row>
    <row r="13" spans="1:12" x14ac:dyDescent="0.3">
      <c r="A13" s="23" t="s">
        <v>359</v>
      </c>
      <c r="B13" s="23"/>
      <c r="C13" s="203"/>
      <c r="D13" s="195">
        <v>0.02</v>
      </c>
      <c r="E13" s="195">
        <v>-4.3999999999999997E-2</v>
      </c>
      <c r="F13" s="195">
        <v>-4.3999999999999997E-2</v>
      </c>
      <c r="G13" s="195">
        <v>-7.0000000000000001E-3</v>
      </c>
      <c r="H13" s="195">
        <v>-5.8999999999999997E-2</v>
      </c>
      <c r="I13" s="195">
        <v>3.0000000000000001E-3</v>
      </c>
      <c r="J13" s="195">
        <v>-5.0999999999999997E-2</v>
      </c>
    </row>
    <row r="14" spans="1:12" x14ac:dyDescent="0.3">
      <c r="C14" s="205"/>
      <c r="D14" s="200"/>
      <c r="E14" s="200"/>
      <c r="F14" s="200"/>
      <c r="G14" s="200"/>
      <c r="H14" s="200"/>
      <c r="I14" s="200"/>
      <c r="J14" s="200"/>
    </row>
    <row r="15" spans="1:12" x14ac:dyDescent="0.3">
      <c r="A15" s="181" t="s">
        <v>268</v>
      </c>
      <c r="B15" s="181"/>
      <c r="C15" s="203"/>
      <c r="D15" s="195">
        <v>0</v>
      </c>
      <c r="E15" s="195">
        <v>1.4999999999999999E-2</v>
      </c>
      <c r="F15" s="195">
        <v>1.4999999999999999E-2</v>
      </c>
      <c r="G15" s="195">
        <v>4.0000000000000001E-3</v>
      </c>
      <c r="H15" s="195">
        <v>-7.0000000000000001E-3</v>
      </c>
      <c r="I15" s="195">
        <v>0</v>
      </c>
      <c r="J15" s="195">
        <v>0</v>
      </c>
    </row>
    <row r="16" spans="1:12" x14ac:dyDescent="0.3">
      <c r="C16" s="41"/>
      <c r="D16" s="201"/>
      <c r="E16" s="201"/>
      <c r="F16" s="201"/>
      <c r="G16" s="201"/>
      <c r="H16" s="201"/>
      <c r="I16" s="201"/>
      <c r="J16" s="201"/>
    </row>
    <row r="17" spans="1:16" s="25" customFormat="1" ht="13" x14ac:dyDescent="0.3">
      <c r="A17" s="108" t="s">
        <v>29</v>
      </c>
      <c r="B17" s="108"/>
      <c r="C17" s="206"/>
      <c r="D17" s="202">
        <f t="shared" ref="D17:I17" si="0">SUM(D7,D11,D13,D15)</f>
        <v>6.8000000000000005E-2</v>
      </c>
      <c r="E17" s="202">
        <f t="shared" si="0"/>
        <v>4.0000000000000008E-2</v>
      </c>
      <c r="F17" s="202">
        <f t="shared" si="0"/>
        <v>4.0000000000000008E-2</v>
      </c>
      <c r="G17" s="202">
        <f t="shared" si="0"/>
        <v>7.5999999999999998E-2</v>
      </c>
      <c r="H17" s="202">
        <f t="shared" si="0"/>
        <v>-2.8999999999999991E-2</v>
      </c>
      <c r="I17" s="202">
        <f t="shared" si="0"/>
        <v>2.5000000000000001E-2</v>
      </c>
      <c r="J17" s="202">
        <f t="shared" ref="J17" si="1">SUM(J7,J11,J13,J15)</f>
        <v>-0.19199999999999998</v>
      </c>
    </row>
    <row r="18" spans="1:16" hidden="1" outlineLevel="1" x14ac:dyDescent="0.3">
      <c r="C18" s="41"/>
      <c r="D18" s="41"/>
      <c r="E18" s="41"/>
      <c r="F18" s="41"/>
      <c r="G18" s="41"/>
      <c r="H18" s="41"/>
      <c r="I18" s="41"/>
      <c r="J18" s="41"/>
    </row>
    <row r="19" spans="1:16" hidden="1" outlineLevel="1" x14ac:dyDescent="0.3">
      <c r="C19" s="41"/>
      <c r="D19" s="41"/>
      <c r="E19" s="41"/>
      <c r="F19" s="41"/>
      <c r="G19" s="41"/>
      <c r="H19" s="41"/>
      <c r="I19" s="41"/>
      <c r="J19" s="41"/>
    </row>
    <row r="20" spans="1:16" ht="13.5" hidden="1" outlineLevel="1" thickBot="1" x14ac:dyDescent="0.35">
      <c r="A20" s="12" t="s">
        <v>325</v>
      </c>
      <c r="B20" s="12"/>
      <c r="C20" s="14" t="str">
        <f t="shared" ref="C20:I21" si="2">C4</f>
        <v>FY 2014</v>
      </c>
      <c r="D20" s="14" t="str">
        <f t="shared" si="2"/>
        <v>FY 2015</v>
      </c>
      <c r="E20" s="14" t="str">
        <f t="shared" si="2"/>
        <v>FY 2016</v>
      </c>
      <c r="F20" s="14" t="str">
        <f t="shared" si="2"/>
        <v>FY 2016</v>
      </c>
      <c r="G20" s="14" t="str">
        <f t="shared" si="2"/>
        <v>FY 2017</v>
      </c>
      <c r="H20" s="14" t="str">
        <f t="shared" si="2"/>
        <v>FY 2018</v>
      </c>
      <c r="I20" s="14" t="str">
        <f t="shared" si="2"/>
        <v>FY 2019</v>
      </c>
      <c r="J20" s="14" t="str">
        <f t="shared" ref="J20" si="3">J4</f>
        <v>FY 2020</v>
      </c>
    </row>
    <row r="21" spans="1:16" hidden="1" outlineLevel="1" x14ac:dyDescent="0.3">
      <c r="C21" s="41" t="str">
        <f t="shared" si="2"/>
        <v>carve-out</v>
      </c>
      <c r="D21" s="41" t="str">
        <f t="shared" si="2"/>
        <v>carve-out</v>
      </c>
      <c r="E21" s="41" t="str">
        <f t="shared" si="2"/>
        <v>carve-out</v>
      </c>
      <c r="F21" s="41" t="str">
        <f t="shared" si="2"/>
        <v>restated</v>
      </c>
      <c r="G21" s="41" t="str">
        <f t="shared" si="2"/>
        <v>reported</v>
      </c>
      <c r="H21" s="41" t="str">
        <f t="shared" si="2"/>
        <v>reported</v>
      </c>
      <c r="I21" s="41" t="str">
        <f t="shared" si="2"/>
        <v>reported</v>
      </c>
      <c r="J21" s="41" t="str">
        <f t="shared" ref="J21" si="4">J5</f>
        <v>reported</v>
      </c>
    </row>
    <row r="22" spans="1:16" hidden="1" outlineLevel="1" x14ac:dyDescent="0.3">
      <c r="C22" s="41"/>
      <c r="D22" s="41"/>
      <c r="E22" s="41"/>
      <c r="F22" s="41"/>
      <c r="G22" s="41"/>
      <c r="H22" s="41"/>
      <c r="I22" s="41"/>
      <c r="J22" s="41"/>
    </row>
    <row r="23" spans="1:16" hidden="1" outlineLevel="1" x14ac:dyDescent="0.3">
      <c r="A23" s="15" t="s">
        <v>276</v>
      </c>
      <c r="B23" s="15"/>
      <c r="C23" s="45" t="s">
        <v>230</v>
      </c>
      <c r="D23" s="45" t="s">
        <v>230</v>
      </c>
      <c r="E23" s="45" t="s">
        <v>230</v>
      </c>
      <c r="F23" s="45" t="s">
        <v>230</v>
      </c>
      <c r="G23" s="45" t="s">
        <v>230</v>
      </c>
      <c r="H23" s="45">
        <v>2329.136</v>
      </c>
      <c r="I23" s="45">
        <v>2288.6759999999999</v>
      </c>
      <c r="J23" s="45" t="s">
        <v>230</v>
      </c>
      <c r="L23" s="182"/>
      <c r="M23" s="182"/>
    </row>
    <row r="24" spans="1:16" s="30" customFormat="1" ht="13" hidden="1" outlineLevel="1" x14ac:dyDescent="0.3">
      <c r="A24" s="28" t="s">
        <v>82</v>
      </c>
      <c r="B24" s="28"/>
      <c r="C24" s="194" t="str">
        <f t="shared" ref="C24" si="5">IFERROR(C23/C38,"")</f>
        <v/>
      </c>
      <c r="D24" s="194" t="str">
        <f t="shared" ref="D24" si="6">IFERROR(D23/D38,"")</f>
        <v/>
      </c>
      <c r="E24" s="194" t="str">
        <f t="shared" ref="E24" si="7">IFERROR(E23/E38,"")</f>
        <v/>
      </c>
      <c r="F24" s="194" t="str">
        <f t="shared" ref="F24" si="8">IFERROR(F23/F38,"")</f>
        <v/>
      </c>
      <c r="G24" s="194" t="str">
        <f t="shared" ref="G24" si="9">IFERROR(G23/G38,"")</f>
        <v/>
      </c>
      <c r="H24" s="194">
        <f t="shared" ref="H24:I24" si="10">IFERROR(H23/H38,"")</f>
        <v>0.44838804381201913</v>
      </c>
      <c r="I24" s="194">
        <f t="shared" si="10"/>
        <v>0.42995551612955946</v>
      </c>
      <c r="J24" s="194" t="str">
        <f t="shared" ref="J24" si="11">IFERROR(J23/J38,"")</f>
        <v/>
      </c>
      <c r="K24" s="2"/>
      <c r="L24" s="2"/>
      <c r="M24" s="2"/>
    </row>
    <row r="25" spans="1:16" hidden="1" outlineLevel="1" x14ac:dyDescent="0.3">
      <c r="C25" s="44"/>
      <c r="D25" s="44"/>
      <c r="E25" s="44"/>
      <c r="F25" s="44"/>
      <c r="G25" s="44"/>
      <c r="H25" s="44"/>
      <c r="I25" s="44"/>
      <c r="J25" s="44"/>
    </row>
    <row r="26" spans="1:16" hidden="1" outlineLevel="1" x14ac:dyDescent="0.3">
      <c r="A26" s="15" t="s">
        <v>277</v>
      </c>
      <c r="B26" s="15"/>
      <c r="C26" s="45" t="s">
        <v>230</v>
      </c>
      <c r="D26" s="45" t="s">
        <v>230</v>
      </c>
      <c r="E26" s="45" t="s">
        <v>230</v>
      </c>
      <c r="F26" s="45" t="s">
        <v>230</v>
      </c>
      <c r="G26" s="45" t="s">
        <v>230</v>
      </c>
      <c r="H26" s="45">
        <v>1004.027</v>
      </c>
      <c r="I26" s="45">
        <v>1101.855</v>
      </c>
      <c r="J26" s="45" t="s">
        <v>230</v>
      </c>
      <c r="L26" s="182"/>
      <c r="M26" s="182"/>
    </row>
    <row r="27" spans="1:16" s="30" customFormat="1" ht="13" hidden="1" outlineLevel="1" x14ac:dyDescent="0.3">
      <c r="A27" s="28" t="s">
        <v>278</v>
      </c>
      <c r="B27" s="28"/>
      <c r="C27" s="194" t="str">
        <f t="shared" ref="C27" si="12">IFERROR(C26/C38,"")</f>
        <v/>
      </c>
      <c r="D27" s="194" t="str">
        <f t="shared" ref="D27" si="13">IFERROR(D26/D38,"")</f>
        <v/>
      </c>
      <c r="E27" s="194" t="str">
        <f t="shared" ref="E27" si="14">IFERROR(E26/E38,"")</f>
        <v/>
      </c>
      <c r="F27" s="194" t="str">
        <f t="shared" ref="F27" si="15">IFERROR(F26/F38,"")</f>
        <v/>
      </c>
      <c r="G27" s="194" t="str">
        <f t="shared" ref="G27" si="16">IFERROR(G26/G38,"")</f>
        <v/>
      </c>
      <c r="H27" s="194">
        <f t="shared" ref="H27:I27" si="17">IFERROR(H26/H38,"")</f>
        <v>0.19328785543843302</v>
      </c>
      <c r="I27" s="194">
        <f t="shared" si="17"/>
        <v>0.20699681179202989</v>
      </c>
      <c r="J27" s="194" t="str">
        <f t="shared" ref="J27" si="18">IFERROR(J26/J38,"")</f>
        <v/>
      </c>
      <c r="K27" s="2"/>
      <c r="L27" s="2"/>
      <c r="M27" s="2"/>
      <c r="N27" s="2"/>
      <c r="O27" s="2"/>
      <c r="P27" s="2"/>
    </row>
    <row r="28" spans="1:16" hidden="1" outlineLevel="1" x14ac:dyDescent="0.3">
      <c r="C28" s="41"/>
      <c r="D28" s="41"/>
      <c r="E28" s="41"/>
      <c r="F28" s="41"/>
      <c r="G28" s="41"/>
      <c r="H28" s="41"/>
      <c r="I28" s="41"/>
      <c r="J28" s="41"/>
    </row>
    <row r="29" spans="1:16" hidden="1" outlineLevel="1" x14ac:dyDescent="0.3">
      <c r="A29" s="15" t="s">
        <v>39</v>
      </c>
      <c r="B29" s="15"/>
      <c r="C29" s="45" t="s">
        <v>230</v>
      </c>
      <c r="D29" s="45" t="s">
        <v>230</v>
      </c>
      <c r="E29" s="45" t="s">
        <v>230</v>
      </c>
      <c r="F29" s="45" t="s">
        <v>230</v>
      </c>
      <c r="G29" s="45" t="s">
        <v>230</v>
      </c>
      <c r="H29" s="45">
        <v>903.81200000000001</v>
      </c>
      <c r="I29" s="45">
        <v>975.13099999999997</v>
      </c>
      <c r="J29" s="45" t="s">
        <v>230</v>
      </c>
      <c r="L29" s="182"/>
      <c r="M29" s="182"/>
    </row>
    <row r="30" spans="1:16" s="30" customFormat="1" ht="13" hidden="1" outlineLevel="1" x14ac:dyDescent="0.3">
      <c r="A30" s="28" t="s">
        <v>173</v>
      </c>
      <c r="B30" s="28"/>
      <c r="C30" s="194" t="str">
        <f t="shared" ref="C30" si="19">IFERROR(C29/C38,"")</f>
        <v/>
      </c>
      <c r="D30" s="194" t="str">
        <f t="shared" ref="D30" si="20">IFERROR(D29/D38,"")</f>
        <v/>
      </c>
      <c r="E30" s="194" t="str">
        <f t="shared" ref="E30" si="21">IFERROR(E29/E38,"")</f>
        <v/>
      </c>
      <c r="F30" s="194" t="str">
        <f t="shared" ref="F30" si="22">IFERROR(F29/F38,"")</f>
        <v/>
      </c>
      <c r="G30" s="194" t="str">
        <f t="shared" ref="G30" si="23">IFERROR(G29/G38,"")</f>
        <v/>
      </c>
      <c r="H30" s="194">
        <f t="shared" ref="H30:I30" si="24">IFERROR(H29/H38,"")</f>
        <v>0.1739952045109554</v>
      </c>
      <c r="I30" s="194">
        <f t="shared" si="24"/>
        <v>0.18319017300785845</v>
      </c>
      <c r="J30" s="194" t="str">
        <f t="shared" ref="J30" si="25">IFERROR(J29/J38,"")</f>
        <v/>
      </c>
      <c r="K30" s="2"/>
      <c r="L30" s="2"/>
      <c r="M30" s="2"/>
      <c r="N30" s="2"/>
      <c r="O30" s="2"/>
      <c r="P30" s="2"/>
    </row>
    <row r="31" spans="1:16" hidden="1" outlineLevel="1" x14ac:dyDescent="0.3">
      <c r="C31" s="41"/>
      <c r="D31" s="41"/>
      <c r="E31" s="41"/>
      <c r="F31" s="41"/>
      <c r="G31" s="41"/>
      <c r="H31" s="41"/>
      <c r="I31" s="41"/>
      <c r="J31" s="41"/>
    </row>
    <row r="32" spans="1:16" hidden="1" outlineLevel="1" x14ac:dyDescent="0.3">
      <c r="A32" s="15" t="s">
        <v>279</v>
      </c>
      <c r="B32" s="15"/>
      <c r="C32" s="45" t="s">
        <v>230</v>
      </c>
      <c r="D32" s="45" t="s">
        <v>230</v>
      </c>
      <c r="E32" s="45" t="s">
        <v>230</v>
      </c>
      <c r="F32" s="45" t="s">
        <v>230</v>
      </c>
      <c r="G32" s="45" t="s">
        <v>230</v>
      </c>
      <c r="H32" s="45">
        <v>691.87400000000002</v>
      </c>
      <c r="I32" s="45">
        <v>681.99</v>
      </c>
      <c r="J32" s="45" t="s">
        <v>230</v>
      </c>
      <c r="L32" s="182"/>
      <c r="M32" s="182"/>
    </row>
    <row r="33" spans="1:16" s="30" customFormat="1" ht="13" hidden="1" outlineLevel="1" x14ac:dyDescent="0.3">
      <c r="A33" s="28" t="s">
        <v>280</v>
      </c>
      <c r="B33" s="28"/>
      <c r="C33" s="194" t="str">
        <f t="shared" ref="C33" si="26">IFERROR(C32/C38,"")</f>
        <v/>
      </c>
      <c r="D33" s="194" t="str">
        <f t="shared" ref="D33" si="27">IFERROR(D32/D38,"")</f>
        <v/>
      </c>
      <c r="E33" s="194" t="str">
        <f t="shared" ref="E33" si="28">IFERROR(E32/E38,"")</f>
        <v/>
      </c>
      <c r="F33" s="194" t="str">
        <f t="shared" ref="F33" si="29">IFERROR(F32/F38,"")</f>
        <v/>
      </c>
      <c r="G33" s="194" t="str">
        <f t="shared" ref="G33" si="30">IFERROR(G32/G38,"")</f>
        <v/>
      </c>
      <c r="H33" s="194">
        <f t="shared" ref="H33:I33" si="31">IFERROR(H32/H38,"")</f>
        <v>0.13319446757269518</v>
      </c>
      <c r="I33" s="194">
        <f t="shared" si="31"/>
        <v>0.12812008447032183</v>
      </c>
      <c r="J33" s="194" t="str">
        <f t="shared" ref="J33" si="32">IFERROR(J32/J38,"")</f>
        <v/>
      </c>
      <c r="K33" s="2"/>
      <c r="L33" s="2"/>
      <c r="M33" s="2"/>
      <c r="N33" s="2"/>
      <c r="O33" s="2"/>
      <c r="P33" s="2"/>
    </row>
    <row r="34" spans="1:16" hidden="1" outlineLevel="1" x14ac:dyDescent="0.3">
      <c r="C34" s="41"/>
      <c r="D34" s="41"/>
      <c r="E34" s="41"/>
      <c r="F34" s="41"/>
      <c r="G34" s="41"/>
      <c r="H34" s="41"/>
      <c r="I34" s="41"/>
      <c r="J34" s="41"/>
    </row>
    <row r="35" spans="1:16" hidden="1" outlineLevel="1" x14ac:dyDescent="0.3">
      <c r="A35" s="15" t="s">
        <v>281</v>
      </c>
      <c r="B35" s="15"/>
      <c r="C35" s="45" t="s">
        <v>230</v>
      </c>
      <c r="D35" s="45" t="s">
        <v>230</v>
      </c>
      <c r="E35" s="45" t="s">
        <v>230</v>
      </c>
      <c r="F35" s="45" t="s">
        <v>230</v>
      </c>
      <c r="G35" s="45" t="s">
        <v>230</v>
      </c>
      <c r="H35" s="45">
        <v>265.61599999999999</v>
      </c>
      <c r="I35" s="45">
        <v>275.40100000000001</v>
      </c>
      <c r="J35" s="45" t="s">
        <v>230</v>
      </c>
      <c r="L35" s="182"/>
      <c r="M35" s="182"/>
    </row>
    <row r="36" spans="1:16" s="30" customFormat="1" ht="13" hidden="1" outlineLevel="1" x14ac:dyDescent="0.3">
      <c r="A36" s="28" t="s">
        <v>282</v>
      </c>
      <c r="B36" s="28"/>
      <c r="C36" s="194" t="str">
        <f t="shared" ref="C36" si="33">IFERROR(C35/C38,"")</f>
        <v/>
      </c>
      <c r="D36" s="194" t="str">
        <f t="shared" ref="D36" si="34">IFERROR(D35/D38,"")</f>
        <v/>
      </c>
      <c r="E36" s="194" t="str">
        <f t="shared" ref="E36" si="35">IFERROR(E35/E38,"")</f>
        <v/>
      </c>
      <c r="F36" s="194" t="str">
        <f t="shared" ref="F36" si="36">IFERROR(F35/F38,"")</f>
        <v/>
      </c>
      <c r="G36" s="194" t="str">
        <f t="shared" ref="G36" si="37">IFERROR(G35/G38,"")</f>
        <v/>
      </c>
      <c r="H36" s="194">
        <f t="shared" ref="H36:I36" si="38">IFERROR(H35/H38,"")</f>
        <v>5.1134428665897257E-2</v>
      </c>
      <c r="I36" s="194">
        <f t="shared" si="38"/>
        <v>5.1737414600230361E-2</v>
      </c>
      <c r="J36" s="194" t="str">
        <f t="shared" ref="J36" si="39">IFERROR(J35/J38,"")</f>
        <v/>
      </c>
      <c r="K36" s="2"/>
      <c r="L36" s="2"/>
      <c r="M36" s="2"/>
      <c r="N36" s="2"/>
      <c r="O36" s="2"/>
      <c r="P36" s="2"/>
    </row>
    <row r="37" spans="1:16" hidden="1" outlineLevel="1" x14ac:dyDescent="0.3">
      <c r="C37" s="41"/>
      <c r="D37" s="41"/>
      <c r="E37" s="41"/>
      <c r="F37" s="41"/>
      <c r="G37" s="41"/>
      <c r="H37" s="41"/>
      <c r="I37" s="41"/>
      <c r="J37" s="41"/>
    </row>
    <row r="38" spans="1:16" s="25" customFormat="1" ht="13" hidden="1" outlineLevel="1" x14ac:dyDescent="0.3">
      <c r="A38" s="103" t="s">
        <v>29</v>
      </c>
      <c r="B38" s="103"/>
      <c r="C38" s="104">
        <f t="shared" ref="C38:F38" si="40">C65</f>
        <v>4479.9049999999997</v>
      </c>
      <c r="D38" s="104">
        <f t="shared" si="40"/>
        <v>4785.3969999999999</v>
      </c>
      <c r="E38" s="104">
        <f t="shared" si="40"/>
        <v>4976.3959999999997</v>
      </c>
      <c r="F38" s="104">
        <f t="shared" si="40"/>
        <v>4976.3959999999997</v>
      </c>
      <c r="G38" s="104">
        <f>G65</f>
        <v>5352.2759999999998</v>
      </c>
      <c r="H38" s="104">
        <f>IFERROR(H23+H26+H29+H32+H35,"n.a.")</f>
        <v>5194.4650000000001</v>
      </c>
      <c r="I38" s="104">
        <f>IFERROR(I23+I26+I29+I32+I35,"n.a.")</f>
        <v>5323.0529999999999</v>
      </c>
      <c r="J38" s="104" t="str">
        <f>IFERROR(J23+J26+J29+J32+J35,"n.a.")</f>
        <v>n.a.</v>
      </c>
    </row>
    <row r="39" spans="1:16" hidden="1" outlineLevel="1" x14ac:dyDescent="0.3">
      <c r="C39" s="41"/>
      <c r="D39" s="41"/>
      <c r="E39" s="41"/>
      <c r="F39" s="41"/>
      <c r="G39" s="41"/>
      <c r="H39" s="41"/>
      <c r="I39" s="41"/>
      <c r="J39" s="41"/>
    </row>
    <row r="40" spans="1:16" s="30" customFormat="1" ht="13" hidden="1" outlineLevel="1" x14ac:dyDescent="0.3">
      <c r="A40" s="28" t="s">
        <v>273</v>
      </c>
      <c r="B40" s="28"/>
      <c r="C40" s="194" t="str">
        <f t="shared" ref="C40:G40" si="41">IFERROR((C23+C26+C29)/C38,"n.a.")</f>
        <v>n.a.</v>
      </c>
      <c r="D40" s="194" t="str">
        <f t="shared" si="41"/>
        <v>n.a.</v>
      </c>
      <c r="E40" s="194" t="str">
        <f t="shared" si="41"/>
        <v>n.a.</v>
      </c>
      <c r="F40" s="194" t="str">
        <f t="shared" si="41"/>
        <v>n.a.</v>
      </c>
      <c r="G40" s="194" t="str">
        <f t="shared" si="41"/>
        <v>n.a.</v>
      </c>
      <c r="H40" s="194">
        <f>IFERROR((H23+H26+H29)/H38,"n.a.")</f>
        <v>0.81567110376140761</v>
      </c>
      <c r="I40" s="194">
        <f>IFERROR((I23+I26+I29)/I38,"n.a.")</f>
        <v>0.82014250092944785</v>
      </c>
      <c r="J40" s="194" t="str">
        <f>IFERROR((J23+J26+J29)/J38,"n.a.")</f>
        <v>n.a.</v>
      </c>
      <c r="K40" s="2"/>
      <c r="L40" s="2"/>
      <c r="M40" s="2"/>
      <c r="N40" s="2"/>
      <c r="O40" s="2"/>
      <c r="P40" s="2"/>
    </row>
    <row r="41" spans="1:16" s="30" customFormat="1" ht="13" hidden="1" outlineLevel="1" x14ac:dyDescent="0.3">
      <c r="A41" s="28" t="s">
        <v>274</v>
      </c>
      <c r="B41" s="28"/>
      <c r="C41" s="194" t="str">
        <f t="shared" ref="C41:G41" si="42">IFERROR((C32+C35)/C38,"n.a.")</f>
        <v>n.a.</v>
      </c>
      <c r="D41" s="194" t="str">
        <f t="shared" si="42"/>
        <v>n.a.</v>
      </c>
      <c r="E41" s="194" t="str">
        <f t="shared" si="42"/>
        <v>n.a.</v>
      </c>
      <c r="F41" s="194" t="str">
        <f t="shared" si="42"/>
        <v>n.a.</v>
      </c>
      <c r="G41" s="194" t="str">
        <f t="shared" si="42"/>
        <v>n.a.</v>
      </c>
      <c r="H41" s="194">
        <f>IFERROR((H32+H35)/H38,"n.a.")</f>
        <v>0.18432889623859242</v>
      </c>
      <c r="I41" s="194">
        <f>IFERROR((I32+I35)/I38,"n.a.")</f>
        <v>0.17985749907055221</v>
      </c>
      <c r="J41" s="194" t="str">
        <f>IFERROR((J32+J35)/J38,"n.a.")</f>
        <v>n.a.</v>
      </c>
      <c r="K41" s="2"/>
      <c r="L41" s="2"/>
      <c r="M41" s="2"/>
      <c r="N41" s="2"/>
      <c r="O41" s="2"/>
      <c r="P41" s="2"/>
    </row>
    <row r="42" spans="1:16" hidden="1" outlineLevel="1" x14ac:dyDescent="0.3">
      <c r="C42" s="41"/>
      <c r="D42" s="41"/>
      <c r="E42" s="41"/>
      <c r="F42" s="41"/>
      <c r="G42" s="41"/>
      <c r="H42" s="41"/>
      <c r="I42" s="41"/>
      <c r="J42" s="41"/>
    </row>
    <row r="43" spans="1:16" hidden="1" outlineLevel="1" x14ac:dyDescent="0.3">
      <c r="C43" s="41"/>
      <c r="D43" s="41"/>
      <c r="E43" s="41"/>
      <c r="F43" s="41"/>
      <c r="G43" s="41"/>
      <c r="H43" s="41"/>
      <c r="I43" s="41"/>
      <c r="J43" s="41"/>
    </row>
    <row r="44" spans="1:16" ht="13.5" hidden="1" outlineLevel="1" thickBot="1" x14ac:dyDescent="0.35">
      <c r="A44" s="12" t="s">
        <v>294</v>
      </c>
      <c r="B44" s="12"/>
      <c r="C44" s="14" t="str">
        <f t="shared" ref="C44:I45" si="43">C4</f>
        <v>FY 2014</v>
      </c>
      <c r="D44" s="14" t="str">
        <f t="shared" si="43"/>
        <v>FY 2015</v>
      </c>
      <c r="E44" s="14" t="str">
        <f t="shared" si="43"/>
        <v>FY 2016</v>
      </c>
      <c r="F44" s="14" t="str">
        <f t="shared" si="43"/>
        <v>FY 2016</v>
      </c>
      <c r="G44" s="14" t="str">
        <f t="shared" si="43"/>
        <v>FY 2017</v>
      </c>
      <c r="H44" s="14" t="str">
        <f t="shared" si="43"/>
        <v>FY 2018</v>
      </c>
      <c r="I44" s="14" t="str">
        <f t="shared" si="43"/>
        <v>FY 2019</v>
      </c>
      <c r="J44" s="14" t="str">
        <f t="shared" ref="J44" si="44">J4</f>
        <v>FY 2020</v>
      </c>
    </row>
    <row r="45" spans="1:16" hidden="1" outlineLevel="1" x14ac:dyDescent="0.3">
      <c r="C45" s="41" t="str">
        <f t="shared" si="43"/>
        <v>carve-out</v>
      </c>
      <c r="D45" s="41" t="str">
        <f t="shared" si="43"/>
        <v>carve-out</v>
      </c>
      <c r="E45" s="41" t="str">
        <f t="shared" si="43"/>
        <v>carve-out</v>
      </c>
      <c r="F45" s="41" t="str">
        <f t="shared" si="43"/>
        <v>restated</v>
      </c>
      <c r="G45" s="41" t="str">
        <f t="shared" si="43"/>
        <v>reported</v>
      </c>
      <c r="H45" s="41" t="str">
        <f t="shared" si="43"/>
        <v>reported</v>
      </c>
      <c r="I45" s="41" t="str">
        <f t="shared" si="43"/>
        <v>reported</v>
      </c>
      <c r="J45" s="41" t="str">
        <f t="shared" ref="J45" si="45">J5</f>
        <v>reported</v>
      </c>
    </row>
    <row r="46" spans="1:16" hidden="1" outlineLevel="1" x14ac:dyDescent="0.3">
      <c r="C46" s="41"/>
      <c r="D46" s="41"/>
      <c r="E46" s="41"/>
      <c r="F46" s="41"/>
      <c r="G46" s="41"/>
      <c r="H46" s="41"/>
      <c r="I46" s="41"/>
      <c r="J46" s="41"/>
    </row>
    <row r="47" spans="1:16" hidden="1" outlineLevel="1" x14ac:dyDescent="0.3">
      <c r="A47" s="15" t="s">
        <v>36</v>
      </c>
      <c r="B47" s="15"/>
      <c r="C47" s="45">
        <v>1857.146</v>
      </c>
      <c r="D47" s="45">
        <v>2013.3969999999999</v>
      </c>
      <c r="E47" s="45">
        <v>2092.701</v>
      </c>
      <c r="F47" s="45">
        <v>2092.701</v>
      </c>
      <c r="G47" s="45">
        <v>2237.962</v>
      </c>
      <c r="H47" s="45">
        <v>2234.1660000000002</v>
      </c>
      <c r="I47" s="45" t="s">
        <v>230</v>
      </c>
      <c r="J47" s="45" t="s">
        <v>230</v>
      </c>
      <c r="L47" s="182"/>
    </row>
    <row r="48" spans="1:16" s="30" customFormat="1" ht="13" hidden="1" outlineLevel="1" x14ac:dyDescent="0.3">
      <c r="A48" s="28" t="s">
        <v>82</v>
      </c>
      <c r="B48" s="28"/>
      <c r="C48" s="194">
        <f t="shared" ref="C48:H48" si="46">IFERROR(C47/C65,"")</f>
        <v>0.41455030854448927</v>
      </c>
      <c r="D48" s="194">
        <f t="shared" si="46"/>
        <v>0.42073771517807196</v>
      </c>
      <c r="E48" s="194">
        <f t="shared" si="46"/>
        <v>0.42052541638567353</v>
      </c>
      <c r="F48" s="194">
        <f t="shared" si="46"/>
        <v>0.42052541638567353</v>
      </c>
      <c r="G48" s="194">
        <f t="shared" si="46"/>
        <v>0.41813277192730719</v>
      </c>
      <c r="H48" s="194">
        <f t="shared" si="46"/>
        <v>0.43010520430981902</v>
      </c>
      <c r="I48" s="194" t="str">
        <f t="shared" ref="I48:J48" si="47">IFERROR(I47/I65,"")</f>
        <v/>
      </c>
      <c r="J48" s="194" t="str">
        <f t="shared" si="47"/>
        <v/>
      </c>
      <c r="K48" s="2"/>
      <c r="L48" s="2"/>
      <c r="M48" s="2"/>
    </row>
    <row r="49" spans="1:16" hidden="1" outlineLevel="1" x14ac:dyDescent="0.3">
      <c r="C49" s="44"/>
      <c r="D49" s="44"/>
      <c r="E49" s="44"/>
      <c r="F49" s="44"/>
      <c r="G49" s="44"/>
      <c r="H49" s="44"/>
      <c r="I49" s="44"/>
      <c r="J49" s="44"/>
    </row>
    <row r="50" spans="1:16" hidden="1" outlineLevel="1" x14ac:dyDescent="0.3">
      <c r="A50" s="15" t="s">
        <v>37</v>
      </c>
      <c r="B50" s="15"/>
      <c r="C50" s="45">
        <v>678.09699999999998</v>
      </c>
      <c r="D50" s="45">
        <v>833.16399999999999</v>
      </c>
      <c r="E50" s="45">
        <v>934.55899999999997</v>
      </c>
      <c r="F50" s="45">
        <v>934.55899999999997</v>
      </c>
      <c r="G50" s="45">
        <v>983.85900000000004</v>
      </c>
      <c r="H50" s="45">
        <v>1004.026</v>
      </c>
      <c r="I50" s="45" t="s">
        <v>230</v>
      </c>
      <c r="J50" s="45" t="s">
        <v>230</v>
      </c>
      <c r="L50" s="182"/>
    </row>
    <row r="51" spans="1:16" s="30" customFormat="1" ht="13" hidden="1" outlineLevel="1" x14ac:dyDescent="0.3">
      <c r="A51" s="28" t="s">
        <v>83</v>
      </c>
      <c r="B51" s="28"/>
      <c r="C51" s="194">
        <f t="shared" ref="C51:H51" si="48">IFERROR(C50/C65,"")</f>
        <v>0.15136414723080066</v>
      </c>
      <c r="D51" s="194">
        <f t="shared" si="48"/>
        <v>0.17410551308491229</v>
      </c>
      <c r="E51" s="194">
        <f t="shared" si="48"/>
        <v>0.18779835849076321</v>
      </c>
      <c r="F51" s="194">
        <f t="shared" si="48"/>
        <v>0.18779835849076321</v>
      </c>
      <c r="G51" s="194">
        <f t="shared" si="48"/>
        <v>0.18382067740901256</v>
      </c>
      <c r="H51" s="194">
        <f t="shared" si="48"/>
        <v>0.19328770013614491</v>
      </c>
      <c r="I51" s="194" t="str">
        <f t="shared" ref="I51:J51" si="49">IFERROR(I50/I65,"")</f>
        <v/>
      </c>
      <c r="J51" s="194" t="str">
        <f t="shared" si="49"/>
        <v/>
      </c>
      <c r="K51" s="2"/>
      <c r="L51" s="2"/>
      <c r="M51" s="2"/>
      <c r="N51" s="2"/>
      <c r="O51" s="2"/>
      <c r="P51" s="2"/>
    </row>
    <row r="52" spans="1:16" hidden="1" outlineLevel="1" x14ac:dyDescent="0.3">
      <c r="C52" s="44"/>
      <c r="D52" s="44"/>
      <c r="E52" s="44"/>
      <c r="F52" s="44"/>
      <c r="G52" s="44"/>
      <c r="H52" s="44"/>
      <c r="I52" s="44"/>
      <c r="J52" s="44"/>
    </row>
    <row r="53" spans="1:16" hidden="1" outlineLevel="1" x14ac:dyDescent="0.3">
      <c r="A53" s="15" t="s">
        <v>39</v>
      </c>
      <c r="B53" s="15"/>
      <c r="C53" s="45">
        <v>519.04200000000003</v>
      </c>
      <c r="D53" s="45">
        <v>659.79100000000005</v>
      </c>
      <c r="E53" s="45">
        <v>712.56299999999999</v>
      </c>
      <c r="F53" s="45">
        <v>712.56299999999999</v>
      </c>
      <c r="G53" s="45">
        <v>806.24</v>
      </c>
      <c r="H53" s="45">
        <v>890.24699999999996</v>
      </c>
      <c r="I53" s="45" t="s">
        <v>230</v>
      </c>
      <c r="J53" s="45" t="s">
        <v>230</v>
      </c>
      <c r="L53" s="182"/>
    </row>
    <row r="54" spans="1:16" s="30" customFormat="1" ht="13" hidden="1" outlineLevel="1" x14ac:dyDescent="0.3">
      <c r="A54" s="28" t="s">
        <v>173</v>
      </c>
      <c r="B54" s="28"/>
      <c r="C54" s="194">
        <f t="shared" ref="C54:H54" si="50">IFERROR(C53/C65,"")</f>
        <v>0.11586004613937127</v>
      </c>
      <c r="D54" s="194">
        <f t="shared" si="50"/>
        <v>0.1378759170869209</v>
      </c>
      <c r="E54" s="194">
        <f t="shared" si="50"/>
        <v>0.14318856457564874</v>
      </c>
      <c r="F54" s="194">
        <f t="shared" si="50"/>
        <v>0.14318856457564874</v>
      </c>
      <c r="G54" s="194">
        <f t="shared" si="50"/>
        <v>0.15063498220196417</v>
      </c>
      <c r="H54" s="194">
        <f t="shared" si="50"/>
        <v>0.1713838039882459</v>
      </c>
      <c r="I54" s="194" t="str">
        <f t="shared" ref="I54:J54" si="51">IFERROR(I53/I65,"")</f>
        <v/>
      </c>
      <c r="J54" s="194" t="str">
        <f t="shared" si="51"/>
        <v/>
      </c>
      <c r="K54" s="2"/>
      <c r="L54" s="2"/>
      <c r="M54" s="2"/>
      <c r="N54" s="2"/>
      <c r="O54" s="2"/>
      <c r="P54" s="2"/>
    </row>
    <row r="55" spans="1:16" hidden="1" outlineLevel="1" x14ac:dyDescent="0.3">
      <c r="C55" s="44"/>
      <c r="D55" s="44"/>
      <c r="E55" s="44"/>
      <c r="F55" s="44"/>
      <c r="G55" s="44"/>
      <c r="H55" s="44"/>
      <c r="I55" s="44"/>
      <c r="J55" s="44"/>
    </row>
    <row r="56" spans="1:16" hidden="1" outlineLevel="1" x14ac:dyDescent="0.3">
      <c r="A56" s="15" t="s">
        <v>38</v>
      </c>
      <c r="B56" s="15"/>
      <c r="C56" s="45">
        <v>1009.134</v>
      </c>
      <c r="D56" s="45">
        <v>867.62800000000004</v>
      </c>
      <c r="E56" s="45">
        <v>824.25199999999995</v>
      </c>
      <c r="F56" s="45">
        <v>824.25199999999995</v>
      </c>
      <c r="G56" s="45">
        <v>915.67700000000002</v>
      </c>
      <c r="H56" s="45">
        <v>691.87400000000002</v>
      </c>
      <c r="I56" s="45" t="s">
        <v>230</v>
      </c>
      <c r="J56" s="45" t="s">
        <v>230</v>
      </c>
      <c r="L56" s="182"/>
    </row>
    <row r="57" spans="1:16" s="30" customFormat="1" ht="13" hidden="1" outlineLevel="1" x14ac:dyDescent="0.3">
      <c r="A57" s="28" t="s">
        <v>84</v>
      </c>
      <c r="B57" s="28"/>
      <c r="C57" s="194">
        <f t="shared" ref="C57:H57" si="52">IFERROR(C56/C65,"")</f>
        <v>0.22525790167425427</v>
      </c>
      <c r="D57" s="194">
        <f t="shared" si="52"/>
        <v>0.18130742339663775</v>
      </c>
      <c r="E57" s="194">
        <f t="shared" si="52"/>
        <v>0.16563231704229325</v>
      </c>
      <c r="F57" s="194">
        <f t="shared" si="52"/>
        <v>0.16563231704229325</v>
      </c>
      <c r="G57" s="194">
        <f t="shared" si="52"/>
        <v>0.17108179772493048</v>
      </c>
      <c r="H57" s="194">
        <f t="shared" si="52"/>
        <v>0.13319449321431429</v>
      </c>
      <c r="I57" s="194" t="str">
        <f t="shared" ref="I57:J57" si="53">IFERROR(I56/I65,"")</f>
        <v/>
      </c>
      <c r="J57" s="194" t="str">
        <f t="shared" si="53"/>
        <v/>
      </c>
      <c r="K57" s="2"/>
      <c r="L57" s="2"/>
      <c r="M57" s="2"/>
      <c r="N57" s="2"/>
      <c r="O57" s="2"/>
      <c r="P57" s="2"/>
    </row>
    <row r="58" spans="1:16" hidden="1" outlineLevel="1" x14ac:dyDescent="0.3">
      <c r="C58" s="44"/>
      <c r="D58" s="44"/>
      <c r="E58" s="44"/>
      <c r="F58" s="44"/>
      <c r="G58" s="44"/>
      <c r="H58" s="44"/>
      <c r="I58" s="44"/>
      <c r="J58" s="44"/>
    </row>
    <row r="59" spans="1:16" hidden="1" outlineLevel="1" x14ac:dyDescent="0.3">
      <c r="A59" s="15" t="s">
        <v>40</v>
      </c>
      <c r="B59" s="15"/>
      <c r="C59" s="45">
        <v>220.09899999999999</v>
      </c>
      <c r="D59" s="45">
        <v>179.88900000000001</v>
      </c>
      <c r="E59" s="45">
        <v>162.97900000000001</v>
      </c>
      <c r="F59" s="45">
        <v>162.97900000000001</v>
      </c>
      <c r="G59" s="45">
        <v>159.59</v>
      </c>
      <c r="H59" s="45">
        <v>167.00200000000001</v>
      </c>
      <c r="I59" s="45" t="s">
        <v>230</v>
      </c>
      <c r="J59" s="45" t="s">
        <v>230</v>
      </c>
      <c r="L59" s="182"/>
    </row>
    <row r="60" spans="1:16" s="30" customFormat="1" ht="13" hidden="1" outlineLevel="1" x14ac:dyDescent="0.3">
      <c r="A60" s="28" t="s">
        <v>85</v>
      </c>
      <c r="B60" s="28"/>
      <c r="C60" s="194">
        <f t="shared" ref="C60:H60" si="54">IFERROR(C59/C65,"")</f>
        <v>4.9130282896623925E-2</v>
      </c>
      <c r="D60" s="194">
        <f t="shared" si="54"/>
        <v>3.7591238511663717E-2</v>
      </c>
      <c r="E60" s="194">
        <f t="shared" si="54"/>
        <v>3.2750408126684456E-2</v>
      </c>
      <c r="F60" s="194">
        <f t="shared" si="54"/>
        <v>3.2750408126684456E-2</v>
      </c>
      <c r="G60" s="194">
        <f t="shared" si="54"/>
        <v>2.9817221682887803E-2</v>
      </c>
      <c r="H60" s="194">
        <f t="shared" si="54"/>
        <v>3.2149996611777455E-2</v>
      </c>
      <c r="I60" s="194" t="str">
        <f t="shared" ref="I60:J60" si="55">IFERROR(I59/I65,"")</f>
        <v/>
      </c>
      <c r="J60" s="194" t="str">
        <f t="shared" si="55"/>
        <v/>
      </c>
      <c r="K60" s="2"/>
      <c r="L60" s="2"/>
      <c r="M60" s="2"/>
      <c r="N60" s="2"/>
      <c r="O60" s="2"/>
      <c r="P60" s="2"/>
    </row>
    <row r="61" spans="1:16" hidden="1" outlineLevel="1" x14ac:dyDescent="0.3">
      <c r="C61" s="44"/>
      <c r="D61" s="44"/>
      <c r="E61" s="44"/>
      <c r="F61" s="44"/>
      <c r="G61" s="44"/>
      <c r="H61" s="44"/>
      <c r="I61" s="44"/>
      <c r="J61" s="44"/>
    </row>
    <row r="62" spans="1:16" hidden="1" outlineLevel="1" x14ac:dyDescent="0.3">
      <c r="A62" s="15" t="s">
        <v>41</v>
      </c>
      <c r="B62" s="15"/>
      <c r="C62" s="45">
        <v>196.387</v>
      </c>
      <c r="D62" s="45">
        <v>231.52799999999999</v>
      </c>
      <c r="E62" s="45">
        <v>249.34200000000001</v>
      </c>
      <c r="F62" s="45">
        <v>249.34200000000001</v>
      </c>
      <c r="G62" s="45">
        <v>248.94800000000001</v>
      </c>
      <c r="H62" s="45">
        <v>207.149</v>
      </c>
      <c r="I62" s="45" t="s">
        <v>230</v>
      </c>
      <c r="J62" s="45" t="s">
        <v>230</v>
      </c>
      <c r="L62" s="182"/>
    </row>
    <row r="63" spans="1:16" s="30" customFormat="1" ht="13" hidden="1" outlineLevel="1" x14ac:dyDescent="0.3">
      <c r="A63" s="28" t="s">
        <v>86</v>
      </c>
      <c r="B63" s="28"/>
      <c r="C63" s="194">
        <f t="shared" ref="C63:H63" si="56">IFERROR(C62/C65,"")</f>
        <v>4.3837313514460692E-2</v>
      </c>
      <c r="D63" s="194">
        <f t="shared" si="56"/>
        <v>4.8382192741793416E-2</v>
      </c>
      <c r="E63" s="194">
        <f t="shared" si="56"/>
        <v>5.0104935378936892E-2</v>
      </c>
      <c r="F63" s="194">
        <f t="shared" si="56"/>
        <v>5.0104935378936892E-2</v>
      </c>
      <c r="G63" s="194">
        <f t="shared" si="56"/>
        <v>4.6512549053897824E-2</v>
      </c>
      <c r="H63" s="194">
        <f t="shared" si="56"/>
        <v>3.9878801739698259E-2</v>
      </c>
      <c r="I63" s="194" t="str">
        <f t="shared" ref="I63:J63" si="57">IFERROR(I62/I65,"")</f>
        <v/>
      </c>
      <c r="J63" s="194" t="str">
        <f t="shared" si="57"/>
        <v/>
      </c>
      <c r="K63" s="2"/>
      <c r="L63" s="2"/>
      <c r="M63" s="2"/>
      <c r="N63" s="2"/>
      <c r="O63" s="2"/>
      <c r="P63" s="2"/>
    </row>
    <row r="64" spans="1:16" hidden="1" outlineLevel="1" x14ac:dyDescent="0.3">
      <c r="C64" s="44"/>
      <c r="D64" s="44"/>
      <c r="E64" s="44"/>
      <c r="F64" s="44"/>
      <c r="G64" s="44"/>
      <c r="H64" s="44"/>
      <c r="I64" s="44"/>
      <c r="J64" s="44"/>
    </row>
    <row r="65" spans="1:21" s="25" customFormat="1" ht="13" hidden="1" outlineLevel="1" x14ac:dyDescent="0.3">
      <c r="A65" s="103" t="s">
        <v>29</v>
      </c>
      <c r="B65" s="103"/>
      <c r="C65" s="104">
        <f t="shared" ref="C65:G65" si="58">IFERROR(C47+C50+C56+C53+C59+C62,"n.a.")</f>
        <v>4479.9049999999997</v>
      </c>
      <c r="D65" s="104">
        <f t="shared" si="58"/>
        <v>4785.3969999999999</v>
      </c>
      <c r="E65" s="104">
        <f t="shared" si="58"/>
        <v>4976.3959999999997</v>
      </c>
      <c r="F65" s="104">
        <f t="shared" si="58"/>
        <v>4976.3959999999997</v>
      </c>
      <c r="G65" s="104">
        <f t="shared" si="58"/>
        <v>5352.2759999999998</v>
      </c>
      <c r="H65" s="104">
        <f t="shared" ref="H65:I65" si="59">IFERROR(H47+H50+H56+H53+H59+H62,"n.a.")</f>
        <v>5194.4640000000009</v>
      </c>
      <c r="I65" s="104" t="str">
        <f t="shared" si="59"/>
        <v>n.a.</v>
      </c>
      <c r="J65" s="104" t="str">
        <f t="shared" ref="J65" si="60">IFERROR(J47+J50+J56+J53+J59+J62,"n.a.")</f>
        <v>n.a.</v>
      </c>
    </row>
    <row r="66" spans="1:21" hidden="1" outlineLevel="1" x14ac:dyDescent="0.3">
      <c r="C66" s="41"/>
      <c r="D66" s="41"/>
      <c r="E66" s="41"/>
      <c r="F66" s="41"/>
      <c r="G66" s="41"/>
      <c r="H66" s="41"/>
      <c r="I66" s="41"/>
      <c r="J66" s="41"/>
    </row>
    <row r="67" spans="1:21" hidden="1" outlineLevel="1" x14ac:dyDescent="0.3">
      <c r="C67" s="41"/>
      <c r="D67" s="41"/>
      <c r="E67" s="41"/>
      <c r="F67" s="41"/>
      <c r="G67" s="41"/>
      <c r="H67" s="41"/>
      <c r="I67" s="41"/>
      <c r="J67" s="41"/>
    </row>
    <row r="68" spans="1:21" s="30" customFormat="1" ht="13" hidden="1" outlineLevel="1" x14ac:dyDescent="0.3">
      <c r="A68" s="28" t="s">
        <v>273</v>
      </c>
      <c r="B68" s="28"/>
      <c r="C68" s="194">
        <f>IFERROR((C47+C50+C53)/C65,"n.a.")</f>
        <v>0.68177450191466116</v>
      </c>
      <c r="D68" s="194">
        <f t="shared" ref="D68:H68" si="61">IFERROR((D47+D50+D53)/D65,"n.a.")</f>
        <v>0.73271914534990512</v>
      </c>
      <c r="E68" s="194">
        <f t="shared" si="61"/>
        <v>0.75151233945208551</v>
      </c>
      <c r="F68" s="194">
        <f t="shared" si="61"/>
        <v>0.75151233945208551</v>
      </c>
      <c r="G68" s="194">
        <f t="shared" si="61"/>
        <v>0.75258843153828392</v>
      </c>
      <c r="H68" s="194">
        <f t="shared" si="61"/>
        <v>0.79477670843420989</v>
      </c>
      <c r="I68" s="194" t="str">
        <f t="shared" ref="I68:J68" si="62">IFERROR((I47+I50+I53)/I65,"n.a.")</f>
        <v>n.a.</v>
      </c>
      <c r="J68" s="194" t="str">
        <f t="shared" si="62"/>
        <v>n.a.</v>
      </c>
      <c r="K68" s="2"/>
      <c r="L68" s="2"/>
      <c r="M68" s="2"/>
      <c r="N68" s="2"/>
      <c r="O68" s="2"/>
      <c r="P68" s="2"/>
    </row>
    <row r="69" spans="1:21" s="30" customFormat="1" ht="13" hidden="1" outlineLevel="1" x14ac:dyDescent="0.3">
      <c r="A69" s="28" t="s">
        <v>274</v>
      </c>
      <c r="B69" s="28"/>
      <c r="C69" s="194">
        <f>IFERROR((C56+C59+C62)/C65,"n.a.")</f>
        <v>0.31822549808533884</v>
      </c>
      <c r="D69" s="194">
        <f t="shared" ref="D69:H69" si="63">IFERROR((D56+D59+D62)/D65,"n.a.")</f>
        <v>0.26728085465009488</v>
      </c>
      <c r="E69" s="194">
        <f t="shared" si="63"/>
        <v>0.24848766054791463</v>
      </c>
      <c r="F69" s="194">
        <f t="shared" si="63"/>
        <v>0.24848766054791463</v>
      </c>
      <c r="G69" s="194">
        <f t="shared" si="63"/>
        <v>0.24741156846171614</v>
      </c>
      <c r="H69" s="194">
        <f t="shared" si="63"/>
        <v>0.20522329156579003</v>
      </c>
      <c r="I69" s="194" t="str">
        <f t="shared" ref="I69:J69" si="64">IFERROR((I56+I59+I62)/I65,"n.a.")</f>
        <v>n.a.</v>
      </c>
      <c r="J69" s="194" t="str">
        <f t="shared" si="64"/>
        <v>n.a.</v>
      </c>
      <c r="K69" s="2"/>
      <c r="L69" s="2"/>
      <c r="M69" s="2"/>
      <c r="N69" s="2"/>
      <c r="O69" s="2"/>
      <c r="P69" s="2"/>
    </row>
    <row r="70" spans="1:21" collapsed="1" x14ac:dyDescent="0.3"/>
    <row r="72" spans="1:21" ht="25.5" customHeight="1" x14ac:dyDescent="0.3">
      <c r="A72" s="260" t="s">
        <v>267</v>
      </c>
      <c r="B72" s="260"/>
      <c r="C72" s="260"/>
      <c r="D72" s="260"/>
      <c r="E72" s="260"/>
      <c r="F72" s="260"/>
      <c r="G72" s="260"/>
      <c r="H72" s="260"/>
      <c r="I72" s="260"/>
      <c r="J72" s="260"/>
      <c r="K72" s="260"/>
      <c r="L72" s="63"/>
      <c r="M72" s="63"/>
      <c r="N72" s="63"/>
      <c r="O72" s="63"/>
      <c r="P72" s="63"/>
      <c r="Q72" s="63"/>
      <c r="R72" s="63"/>
      <c r="S72" s="63"/>
      <c r="T72" s="63"/>
      <c r="U72" s="63"/>
    </row>
  </sheetData>
  <mergeCells count="1">
    <mergeCell ref="A72:K72"/>
  </mergeCells>
  <pageMargins left="0" right="0" top="0" bottom="0" header="0" footer="0"/>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M71"/>
  <sheetViews>
    <sheetView showGridLines="0" zoomScale="90" zoomScaleNormal="90" zoomScaleSheetLayoutView="100" workbookViewId="0">
      <pane xSplit="2" ySplit="6" topLeftCell="R7" activePane="bottomRight" state="frozen"/>
      <selection pane="topRight" activeCell="C1" sqref="C1"/>
      <selection pane="bottomLeft" activeCell="A8" sqref="A8"/>
      <selection pane="bottomRight"/>
    </sheetView>
  </sheetViews>
  <sheetFormatPr defaultColWidth="9" defaultRowHeight="12.5" outlineLevelRow="1" outlineLevelCol="2" x14ac:dyDescent="0.3"/>
  <cols>
    <col min="1" max="1" width="50.58203125" style="2" customWidth="1"/>
    <col min="2" max="2" width="4.58203125" style="2" customWidth="1"/>
    <col min="3" max="4" width="9.58203125" style="2" hidden="1" customWidth="1" outlineLevel="1"/>
    <col min="5" max="5" width="9.58203125" style="2" hidden="1" customWidth="1" outlineLevel="2"/>
    <col min="6" max="6" width="9.58203125" style="2" hidden="1" customWidth="1" outlineLevel="1"/>
    <col min="7" max="7" width="9.58203125" style="2" hidden="1" customWidth="1" outlineLevel="2"/>
    <col min="8" max="8" width="9.58203125" style="2" hidden="1" customWidth="1" outlineLevel="1"/>
    <col min="9" max="9" width="9.58203125" style="2" hidden="1" customWidth="1" outlineLevel="2"/>
    <col min="10" max="12" width="9.58203125" style="2" hidden="1" customWidth="1" outlineLevel="1"/>
    <col min="13" max="13" width="9.58203125" style="2" hidden="1" customWidth="1" outlineLevel="1" collapsed="1"/>
    <col min="14" max="14" width="9.58203125" style="2" hidden="1" customWidth="1" outlineLevel="1"/>
    <col min="15" max="15" width="9.58203125" style="2" hidden="1" customWidth="1" outlineLevel="1" collapsed="1"/>
    <col min="16" max="16" width="9.58203125" style="2" hidden="1" customWidth="1" outlineLevel="1"/>
    <col min="17" max="17" width="9.58203125" style="2" customWidth="1" collapsed="1"/>
    <col min="18" max="18" width="9.58203125" style="2" customWidth="1"/>
    <col min="19" max="19" width="9.58203125" style="2" hidden="1" customWidth="1" outlineLevel="1"/>
    <col min="20" max="20" width="9.58203125" style="2" customWidth="1" collapsed="1"/>
    <col min="21" max="21" width="9.58203125" style="2" hidden="1" customWidth="1" outlineLevel="1"/>
    <col min="22" max="22" width="9.58203125" style="2" customWidth="1" collapsed="1"/>
    <col min="23" max="23" width="9.58203125" style="2" hidden="1" customWidth="1" outlineLevel="1"/>
    <col min="24" max="24" width="9.58203125" style="2" customWidth="1" collapsed="1"/>
    <col min="25" max="25" width="9.58203125" style="2" customWidth="1"/>
    <col min="26" max="26" width="9.58203125" style="2" hidden="1" customWidth="1" outlineLevel="1"/>
    <col min="27" max="27" width="9.58203125" style="2" customWidth="1" collapsed="1"/>
    <col min="28" max="28" width="9.58203125" style="2" hidden="1" customWidth="1" outlineLevel="1"/>
    <col min="29" max="29" width="9.58203125" style="2" customWidth="1" collapsed="1"/>
    <col min="30" max="30" width="9.58203125" style="2" hidden="1" customWidth="1" outlineLevel="1"/>
    <col min="31" max="31" width="9.58203125" style="2" customWidth="1" collapsed="1"/>
    <col min="32" max="32" width="9.58203125" style="2" customWidth="1"/>
    <col min="33" max="33" width="9.58203125" style="2" hidden="1" customWidth="1" outlineLevel="1"/>
    <col min="34" max="34" width="9.58203125" style="2" customWidth="1" collapsed="1"/>
    <col min="35" max="35" width="9.58203125" style="2" hidden="1" customWidth="1" outlineLevel="1"/>
    <col min="36" max="36" width="9.58203125" style="2" customWidth="1" collapsed="1"/>
    <col min="37" max="37" width="9.58203125" style="2" hidden="1" customWidth="1" outlineLevel="1"/>
    <col min="38" max="38" width="2.58203125" style="2" customWidth="1" collapsed="1"/>
    <col min="39" max="16384" width="9" style="2"/>
  </cols>
  <sheetData>
    <row r="1" spans="1:37" s="9" customFormat="1" ht="27.75" customHeight="1" x14ac:dyDescent="0.3">
      <c r="A1" s="9" t="s">
        <v>355</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x14ac:dyDescent="0.3">
      <c r="A2" s="33" t="s">
        <v>192</v>
      </c>
      <c r="B2" s="11"/>
    </row>
    <row r="4" spans="1:37" ht="13.5" thickBot="1" x14ac:dyDescent="0.35">
      <c r="A4" s="12" t="s">
        <v>42</v>
      </c>
      <c r="B4" s="12"/>
      <c r="C4" s="13"/>
      <c r="D4" s="14"/>
      <c r="E4" s="13"/>
      <c r="F4" s="14"/>
      <c r="G4" s="14"/>
      <c r="H4" s="14"/>
      <c r="I4" s="14" t="s">
        <v>26</v>
      </c>
      <c r="J4" s="14" t="s">
        <v>168</v>
      </c>
      <c r="K4" s="14" t="s">
        <v>167</v>
      </c>
      <c r="L4" s="14" t="s">
        <v>166</v>
      </c>
      <c r="M4" s="14" t="s">
        <v>165</v>
      </c>
      <c r="N4" s="14" t="s">
        <v>122</v>
      </c>
      <c r="O4" s="14" t="s">
        <v>169</v>
      </c>
      <c r="P4" s="14" t="s">
        <v>162</v>
      </c>
      <c r="Q4" s="14" t="s">
        <v>236</v>
      </c>
      <c r="R4" s="176" t="s">
        <v>249</v>
      </c>
      <c r="S4" s="176" t="s">
        <v>252</v>
      </c>
      <c r="T4" s="14" t="s">
        <v>264</v>
      </c>
      <c r="U4" s="14" t="s">
        <v>263</v>
      </c>
      <c r="V4" s="14" t="s">
        <v>266</v>
      </c>
      <c r="W4" s="14" t="s">
        <v>265</v>
      </c>
      <c r="X4" s="14" t="s">
        <v>275</v>
      </c>
      <c r="Y4" s="14" t="s">
        <v>302</v>
      </c>
      <c r="Z4" s="14" t="s">
        <v>303</v>
      </c>
      <c r="AA4" s="14" t="s">
        <v>307</v>
      </c>
      <c r="AB4" s="14" t="s">
        <v>308</v>
      </c>
      <c r="AC4" s="14" t="s">
        <v>310</v>
      </c>
      <c r="AD4" s="14" t="s">
        <v>309</v>
      </c>
      <c r="AE4" s="14" t="s">
        <v>324</v>
      </c>
      <c r="AF4" s="14" t="s">
        <v>333</v>
      </c>
      <c r="AG4" s="14" t="s">
        <v>334</v>
      </c>
      <c r="AH4" s="14" t="s">
        <v>336</v>
      </c>
      <c r="AI4" s="14" t="s">
        <v>337</v>
      </c>
      <c r="AJ4" s="14" t="s">
        <v>339</v>
      </c>
      <c r="AK4" s="14" t="s">
        <v>338</v>
      </c>
    </row>
    <row r="5" spans="1:37" x14ac:dyDescent="0.3">
      <c r="I5" s="41" t="s">
        <v>191</v>
      </c>
      <c r="J5" s="41" t="s">
        <v>177</v>
      </c>
      <c r="K5" s="41" t="s">
        <v>177</v>
      </c>
      <c r="L5" s="41" t="s">
        <v>177</v>
      </c>
      <c r="M5" s="41" t="s">
        <v>177</v>
      </c>
      <c r="N5" s="41" t="s">
        <v>177</v>
      </c>
      <c r="O5" s="41" t="s">
        <v>177</v>
      </c>
      <c r="P5" s="41" t="s">
        <v>177</v>
      </c>
      <c r="Q5" s="41" t="s">
        <v>177</v>
      </c>
      <c r="R5" s="41" t="s">
        <v>177</v>
      </c>
      <c r="S5" s="41" t="s">
        <v>177</v>
      </c>
      <c r="T5" s="41" t="s">
        <v>177</v>
      </c>
      <c r="U5" s="41" t="s">
        <v>177</v>
      </c>
      <c r="V5" s="41" t="s">
        <v>177</v>
      </c>
      <c r="W5" s="41" t="s">
        <v>177</v>
      </c>
      <c r="X5" s="41" t="s">
        <v>177</v>
      </c>
      <c r="Y5" s="41" t="s">
        <v>177</v>
      </c>
      <c r="Z5" s="41" t="s">
        <v>177</v>
      </c>
      <c r="AA5" s="41" t="s">
        <v>177</v>
      </c>
      <c r="AB5" s="41" t="s">
        <v>177</v>
      </c>
      <c r="AC5" s="41" t="s">
        <v>177</v>
      </c>
      <c r="AD5" s="41" t="s">
        <v>177</v>
      </c>
      <c r="AE5" s="41" t="s">
        <v>177</v>
      </c>
      <c r="AF5" s="41" t="s">
        <v>177</v>
      </c>
      <c r="AG5" s="41" t="s">
        <v>177</v>
      </c>
      <c r="AH5" s="41" t="s">
        <v>177</v>
      </c>
      <c r="AI5" s="41" t="s">
        <v>177</v>
      </c>
      <c r="AJ5" s="41" t="s">
        <v>177</v>
      </c>
      <c r="AK5" s="41" t="s">
        <v>177</v>
      </c>
    </row>
    <row r="7" spans="1:37" x14ac:dyDescent="0.3">
      <c r="A7" s="15" t="s">
        <v>27</v>
      </c>
      <c r="B7" s="15"/>
      <c r="C7" s="16"/>
      <c r="D7" s="17"/>
      <c r="E7" s="16"/>
      <c r="F7" s="17"/>
      <c r="G7" s="17"/>
      <c r="H7" s="17"/>
      <c r="I7" s="35">
        <f>'Adj. Rev. detail - FY'!F7</f>
        <v>3.5000000000000003E-2</v>
      </c>
      <c r="J7" s="195">
        <v>2.9000000000000001E-2</v>
      </c>
      <c r="K7" s="195">
        <v>-3.0000000000000001E-3</v>
      </c>
      <c r="L7" s="195">
        <v>1.2999999999999999E-2</v>
      </c>
      <c r="M7" s="195">
        <v>0.01</v>
      </c>
      <c r="N7" s="195">
        <v>1.2E-2</v>
      </c>
      <c r="O7" s="195">
        <v>5.0000000000000001E-3</v>
      </c>
      <c r="P7" s="196">
        <f>'Adj. Rev. detail - FY'!G7</f>
        <v>0.01</v>
      </c>
      <c r="Q7" s="195">
        <v>-1.4999999999999999E-2</v>
      </c>
      <c r="R7" s="195">
        <v>-8.9999999999999993E-3</v>
      </c>
      <c r="S7" s="195">
        <v>-1.2E-2</v>
      </c>
      <c r="T7" s="195">
        <v>-0.03</v>
      </c>
      <c r="U7" s="195">
        <v>-1.7999999999999999E-2</v>
      </c>
      <c r="V7" s="195">
        <v>-7.0999999999999994E-2</v>
      </c>
      <c r="W7" s="196">
        <f>'Adj. Rev. detail - FY'!H7</f>
        <v>-3.1E-2</v>
      </c>
      <c r="X7" s="195">
        <v>-6.5000000000000002E-2</v>
      </c>
      <c r="Y7" s="195">
        <v>-3.5000000000000003E-2</v>
      </c>
      <c r="Z7" s="195">
        <v>-0.05</v>
      </c>
      <c r="AA7" s="195">
        <v>6.0000000000000001E-3</v>
      </c>
      <c r="AB7" s="195">
        <v>-3.1E-2</v>
      </c>
      <c r="AC7" s="195">
        <v>1.4999999999999999E-2</v>
      </c>
      <c r="AD7" s="196">
        <f>'Adj. Rev. detail - FY'!I7</f>
        <v>-0.02</v>
      </c>
      <c r="AE7" s="195">
        <v>-0.17199999999999999</v>
      </c>
      <c r="AF7" s="195">
        <v>-0.41599999999999998</v>
      </c>
      <c r="AG7" s="195">
        <v>-0.29499999999999998</v>
      </c>
      <c r="AH7" s="195">
        <v>-3.78E-2</v>
      </c>
      <c r="AI7" s="195">
        <v>-0.20699999999999999</v>
      </c>
      <c r="AJ7" s="195">
        <v>1.0999999999999999E-2</v>
      </c>
      <c r="AK7" s="196">
        <f>'Adj. Rev. detail - FY'!J7</f>
        <v>-0.153</v>
      </c>
    </row>
    <row r="8" spans="1:37" x14ac:dyDescent="0.3">
      <c r="A8" s="32" t="s">
        <v>176</v>
      </c>
      <c r="B8" s="18"/>
      <c r="C8" s="19"/>
      <c r="D8" s="20"/>
      <c r="E8" s="19"/>
      <c r="F8" s="20"/>
      <c r="G8" s="20"/>
      <c r="H8" s="20"/>
      <c r="I8" s="36">
        <f>'Adj. Rev. detail - FY'!F8</f>
        <v>0.155</v>
      </c>
      <c r="J8" s="197">
        <v>0.17100000000000001</v>
      </c>
      <c r="K8" s="197">
        <v>9.6000000000000002E-2</v>
      </c>
      <c r="L8" s="198">
        <v>0.13200000000000001</v>
      </c>
      <c r="M8" s="197">
        <v>0.122</v>
      </c>
      <c r="N8" s="197">
        <v>0.129</v>
      </c>
      <c r="O8" s="197">
        <v>0.115</v>
      </c>
      <c r="P8" s="199">
        <f>'Adj. Rev. detail - FY'!G8</f>
        <v>0.125</v>
      </c>
      <c r="Q8" s="197">
        <v>0.128</v>
      </c>
      <c r="R8" s="197">
        <v>0.13400000000000001</v>
      </c>
      <c r="S8" s="198">
        <v>0.13100000000000001</v>
      </c>
      <c r="T8" s="197">
        <v>0.10100000000000001</v>
      </c>
      <c r="U8" s="198">
        <v>0.121</v>
      </c>
      <c r="V8" s="197">
        <v>7.1999999999999995E-2</v>
      </c>
      <c r="W8" s="199">
        <f>'Adj. Rev. detail - FY'!H8</f>
        <v>0.11</v>
      </c>
      <c r="X8" s="197">
        <v>4.4999999999999998E-2</v>
      </c>
      <c r="Y8" s="197">
        <v>3.4000000000000002E-2</v>
      </c>
      <c r="Z8" s="197">
        <v>3.9E-2</v>
      </c>
      <c r="AA8" s="197">
        <v>0.10199999999999999</v>
      </c>
      <c r="AB8" s="198">
        <v>0.06</v>
      </c>
      <c r="AC8" s="197">
        <v>7.8E-2</v>
      </c>
      <c r="AD8" s="199">
        <f>'Adj. Rev. detail - FY'!I8</f>
        <v>6.4000000000000001E-2</v>
      </c>
      <c r="AE8" s="197">
        <v>-0.14199999999999999</v>
      </c>
      <c r="AF8" s="197">
        <v>-0.35199999999999998</v>
      </c>
      <c r="AG8" s="197">
        <v>-0.247</v>
      </c>
      <c r="AH8" s="197">
        <v>3.9E-2</v>
      </c>
      <c r="AI8" s="198">
        <v>-0.14899999999999999</v>
      </c>
      <c r="AJ8" s="197">
        <v>0.10299999999999999</v>
      </c>
      <c r="AK8" s="199">
        <f>'Adj. Rev. detail - FY'!J8</f>
        <v>-0.09</v>
      </c>
    </row>
    <row r="9" spans="1:37" x14ac:dyDescent="0.3">
      <c r="A9" s="32" t="s">
        <v>13</v>
      </c>
      <c r="B9" s="18"/>
      <c r="C9" s="19"/>
      <c r="D9" s="20"/>
      <c r="E9" s="19"/>
      <c r="F9" s="20"/>
      <c r="G9" s="20"/>
      <c r="H9" s="20"/>
      <c r="I9" s="36">
        <f>'Adj. Rev. detail - FY'!F9</f>
        <v>-2.3E-2</v>
      </c>
      <c r="J9" s="197">
        <v>-5.2592424486277878E-2</v>
      </c>
      <c r="K9" s="197">
        <v>-4.1671869818149188E-2</v>
      </c>
      <c r="L9" s="198">
        <v>-4.728188122273469E-2</v>
      </c>
      <c r="M9" s="197">
        <v>-5.7777096220347324E-2</v>
      </c>
      <c r="N9" s="197">
        <v>-5.0855128435213892E-2</v>
      </c>
      <c r="O9" s="197">
        <v>-5.8437197229882942E-2</v>
      </c>
      <c r="P9" s="199">
        <f>'Adj. Rev. detail - FY'!G9</f>
        <v>-5.2705769087852516E-2</v>
      </c>
      <c r="Q9" s="197">
        <v>-0.106</v>
      </c>
      <c r="R9" s="197">
        <v>-0.121</v>
      </c>
      <c r="S9" s="198">
        <v>-0.113</v>
      </c>
      <c r="T9" s="197">
        <v>-0.11</v>
      </c>
      <c r="U9" s="198">
        <v>-0.112</v>
      </c>
      <c r="V9" s="197">
        <v>-0.22600000000000001</v>
      </c>
      <c r="W9" s="199">
        <f>'Adj. Rev. detail - FY'!H9</f>
        <v>-0.14000000000000001</v>
      </c>
      <c r="X9" s="197">
        <v>-0.16600000000000001</v>
      </c>
      <c r="Y9" s="197">
        <v>-0.11</v>
      </c>
      <c r="Z9" s="197">
        <v>-0.13900000000000001</v>
      </c>
      <c r="AA9" s="197">
        <v>-8.7999999999999995E-2</v>
      </c>
      <c r="AB9" s="198">
        <v>-0.122</v>
      </c>
      <c r="AC9" s="197">
        <v>-7.0000000000000001E-3</v>
      </c>
      <c r="AD9" s="199">
        <f>'Adj. Rev. detail - FY'!I9</f>
        <v>-9.7000000000000003E-2</v>
      </c>
      <c r="AE9" s="197">
        <v>-0.20200000000000001</v>
      </c>
      <c r="AF9" s="197">
        <v>-0.504</v>
      </c>
      <c r="AG9" s="197">
        <v>-0.35399999999999998</v>
      </c>
      <c r="AH9" s="197">
        <v>-0.11899999999999999</v>
      </c>
      <c r="AI9" s="198">
        <v>-0.26600000000000001</v>
      </c>
      <c r="AJ9" s="197">
        <v>-7.2999999999999995E-2</v>
      </c>
      <c r="AK9" s="199">
        <f>'Adj. Rev. detail - FY'!J9</f>
        <v>-0.214</v>
      </c>
    </row>
    <row r="10" spans="1:37" x14ac:dyDescent="0.3">
      <c r="C10" s="21"/>
      <c r="D10" s="22"/>
      <c r="E10" s="21"/>
      <c r="F10" s="22"/>
      <c r="G10" s="22"/>
      <c r="H10" s="22"/>
      <c r="I10" s="22"/>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row>
    <row r="11" spans="1:37" x14ac:dyDescent="0.3">
      <c r="A11" s="15" t="s">
        <v>28</v>
      </c>
      <c r="B11" s="15"/>
      <c r="C11" s="16"/>
      <c r="D11" s="17"/>
      <c r="E11" s="16"/>
      <c r="F11" s="17"/>
      <c r="G11" s="17"/>
      <c r="H11" s="17"/>
      <c r="I11" s="35">
        <f>'Adj. Rev. detail - FY'!F11</f>
        <v>3.4000000000000002E-2</v>
      </c>
      <c r="J11" s="195">
        <v>5.5E-2</v>
      </c>
      <c r="K11" s="195">
        <v>6.5000000000000002E-2</v>
      </c>
      <c r="L11" s="195">
        <v>5.8999999999999997E-2</v>
      </c>
      <c r="M11" s="195">
        <v>7.2999999999999995E-2</v>
      </c>
      <c r="N11" s="195">
        <v>6.5000000000000002E-2</v>
      </c>
      <c r="O11" s="195">
        <v>7.8E-2</v>
      </c>
      <c r="P11" s="196">
        <f>'Adj. Rev. detail - FY'!G11</f>
        <v>6.9000000000000006E-2</v>
      </c>
      <c r="Q11" s="195">
        <v>7.1999999999999995E-2</v>
      </c>
      <c r="R11" s="195">
        <v>6.2E-2</v>
      </c>
      <c r="S11" s="195">
        <v>6.7000000000000004E-2</v>
      </c>
      <c r="T11" s="195">
        <v>5.5E-2</v>
      </c>
      <c r="U11" s="195">
        <v>6.2E-2</v>
      </c>
      <c r="V11" s="195">
        <v>8.1000000000000003E-2</v>
      </c>
      <c r="W11" s="196">
        <f>'Adj. Rev. detail - FY'!H11</f>
        <v>6.8000000000000005E-2</v>
      </c>
      <c r="X11" s="195">
        <v>7.6999999999999999E-2</v>
      </c>
      <c r="Y11" s="195">
        <v>5.0999999999999997E-2</v>
      </c>
      <c r="Z11" s="195">
        <v>6.4000000000000001E-2</v>
      </c>
      <c r="AA11" s="195">
        <v>3.5000000000000003E-2</v>
      </c>
      <c r="AB11" s="195">
        <v>5.3999999999999999E-2</v>
      </c>
      <c r="AC11" s="195">
        <v>5.0000000000000001E-3</v>
      </c>
      <c r="AD11" s="196">
        <f>'Adj. Rev. detail - FY'!I11</f>
        <v>4.2000000000000003E-2</v>
      </c>
      <c r="AE11" s="195">
        <v>-1.2999999999999999E-2</v>
      </c>
      <c r="AF11" s="195">
        <v>3.3000000000000002E-2</v>
      </c>
      <c r="AG11" s="195">
        <v>0.01</v>
      </c>
      <c r="AH11" s="195">
        <v>2.3099999999999999E-2</v>
      </c>
      <c r="AI11" s="195">
        <v>1.4E-2</v>
      </c>
      <c r="AJ11" s="195">
        <v>6.0000000000000001E-3</v>
      </c>
      <c r="AK11" s="196">
        <f>'Adj. Rev. detail - FY'!J11</f>
        <v>1.2E-2</v>
      </c>
    </row>
    <row r="12" spans="1:37" x14ac:dyDescent="0.3">
      <c r="C12" s="21"/>
      <c r="D12" s="22"/>
      <c r="E12" s="21"/>
      <c r="F12" s="22"/>
      <c r="G12" s="22"/>
      <c r="H12" s="22"/>
      <c r="I12" s="22"/>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row>
    <row r="13" spans="1:37" x14ac:dyDescent="0.3">
      <c r="A13" s="23" t="s">
        <v>359</v>
      </c>
      <c r="B13" s="23"/>
      <c r="C13" s="16"/>
      <c r="D13" s="17"/>
      <c r="E13" s="16"/>
      <c r="F13" s="17"/>
      <c r="G13" s="17"/>
      <c r="H13" s="17"/>
      <c r="I13" s="35">
        <f>'Adj. Rev. detail - FY'!F13</f>
        <v>-4.3999999999999997E-2</v>
      </c>
      <c r="J13" s="195">
        <v>0.04</v>
      </c>
      <c r="K13" s="195">
        <v>1.2E-2</v>
      </c>
      <c r="L13" s="195">
        <v>2.5999999999999999E-2</v>
      </c>
      <c r="M13" s="195">
        <v>-3.1E-2</v>
      </c>
      <c r="N13" s="195">
        <v>6.0000000000000001E-3</v>
      </c>
      <c r="O13" s="195">
        <v>-4.4999999999999998E-2</v>
      </c>
      <c r="P13" s="196">
        <f>'Adj. Rev. detail - FY'!G13</f>
        <v>-7.0000000000000001E-3</v>
      </c>
      <c r="Q13" s="195">
        <v>-7.2999999999999995E-2</v>
      </c>
      <c r="R13" s="195">
        <v>-6.6000000000000003E-2</v>
      </c>
      <c r="S13" s="195">
        <v>-6.9000000000000006E-2</v>
      </c>
      <c r="T13" s="195">
        <v>-6.0999999999999999E-2</v>
      </c>
      <c r="U13" s="195">
        <v>-6.6000000000000003E-2</v>
      </c>
      <c r="V13" s="195">
        <v>-3.4000000000000002E-2</v>
      </c>
      <c r="W13" s="196">
        <f>'Adj. Rev. detail - FY'!H13</f>
        <v>-5.8999999999999997E-2</v>
      </c>
      <c r="X13" s="195">
        <v>-8.9999999999999993E-3</v>
      </c>
      <c r="Y13" s="195">
        <v>0</v>
      </c>
      <c r="Z13" s="195">
        <v>-5.0000000000000001E-3</v>
      </c>
      <c r="AA13" s="195">
        <v>2.5999999999999999E-2</v>
      </c>
      <c r="AB13" s="195">
        <v>5.0000000000000001E-3</v>
      </c>
      <c r="AC13" s="195">
        <v>-6.0000000000000001E-3</v>
      </c>
      <c r="AD13" s="196">
        <f>'Adj. Rev. detail - FY'!I13</f>
        <v>3.0000000000000001E-3</v>
      </c>
      <c r="AE13" s="195">
        <v>-1.4999999999999999E-2</v>
      </c>
      <c r="AF13" s="195">
        <v>-4.7E-2</v>
      </c>
      <c r="AG13" s="195">
        <v>-3.1E-2</v>
      </c>
      <c r="AH13" s="195">
        <v>-0.06</v>
      </c>
      <c r="AI13" s="195">
        <v>-4.1000000000000002E-2</v>
      </c>
      <c r="AJ13" s="195">
        <v>-7.8E-2</v>
      </c>
      <c r="AK13" s="196">
        <f>'Adj. Rev. detail - FY'!J13</f>
        <v>-5.0999999999999997E-2</v>
      </c>
    </row>
    <row r="14" spans="1:37" x14ac:dyDescent="0.3">
      <c r="C14" s="21"/>
      <c r="D14" s="22"/>
      <c r="E14" s="21"/>
      <c r="F14" s="22"/>
      <c r="G14" s="22"/>
      <c r="H14" s="22"/>
      <c r="I14" s="22"/>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row>
    <row r="15" spans="1:37" x14ac:dyDescent="0.3">
      <c r="A15" s="173" t="s">
        <v>241</v>
      </c>
      <c r="B15" s="15"/>
      <c r="C15" s="16"/>
      <c r="D15" s="17"/>
      <c r="E15" s="16"/>
      <c r="F15" s="17"/>
      <c r="G15" s="17"/>
      <c r="H15" s="17"/>
      <c r="I15" s="35">
        <f>'Adj. Rev. detail - FY'!F15</f>
        <v>1.4999999999999999E-2</v>
      </c>
      <c r="J15" s="195">
        <v>0.01</v>
      </c>
      <c r="K15" s="195">
        <v>6.0000000000000001E-3</v>
      </c>
      <c r="L15" s="195">
        <v>8.0000000000000002E-3</v>
      </c>
      <c r="M15" s="195">
        <v>6.0000000000000001E-3</v>
      </c>
      <c r="N15" s="195">
        <v>7.0000000000000001E-3</v>
      </c>
      <c r="O15" s="195">
        <v>-3.0000000000000001E-3</v>
      </c>
      <c r="P15" s="196">
        <f>'Adj. Rev. detail - FY'!G15</f>
        <v>4.0000000000000001E-3</v>
      </c>
      <c r="Q15" s="195">
        <v>-6.0000000000000001E-3</v>
      </c>
      <c r="R15" s="195">
        <v>-6.0000000000000001E-3</v>
      </c>
      <c r="S15" s="195">
        <v>-6.0000000000000001E-3</v>
      </c>
      <c r="T15" s="195">
        <v>-7.0000000000000001E-3</v>
      </c>
      <c r="U15" s="195">
        <v>-6.0000000000000001E-3</v>
      </c>
      <c r="V15" s="195">
        <v>-0.01</v>
      </c>
      <c r="W15" s="196">
        <f>'Adj. Rev. detail - FY'!H15</f>
        <v>-7.0000000000000001E-3</v>
      </c>
      <c r="X15" s="195">
        <v>0</v>
      </c>
      <c r="Y15" s="195">
        <v>0</v>
      </c>
      <c r="Z15" s="195">
        <v>0</v>
      </c>
      <c r="AA15" s="195">
        <v>0</v>
      </c>
      <c r="AB15" s="195">
        <v>0</v>
      </c>
      <c r="AC15" s="195">
        <v>0</v>
      </c>
      <c r="AD15" s="196">
        <f>'Adj. Rev. detail - FY'!I15</f>
        <v>0</v>
      </c>
      <c r="AE15" s="195">
        <v>0</v>
      </c>
      <c r="AF15" s="195">
        <v>0</v>
      </c>
      <c r="AG15" s="195">
        <v>0</v>
      </c>
      <c r="AH15" s="195">
        <v>0</v>
      </c>
      <c r="AI15" s="195">
        <v>0</v>
      </c>
      <c r="AJ15" s="195">
        <v>0</v>
      </c>
      <c r="AK15" s="196">
        <f>'Adj. Rev. detail - FY'!J15</f>
        <v>0</v>
      </c>
    </row>
    <row r="16" spans="1:37" x14ac:dyDescent="0.3">
      <c r="D16" s="24"/>
      <c r="F16" s="24"/>
      <c r="G16" s="24"/>
      <c r="H16" s="24"/>
      <c r="I16" s="24"/>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row>
    <row r="17" spans="1:39" s="25" customFormat="1" ht="13" x14ac:dyDescent="0.3">
      <c r="A17" s="108" t="s">
        <v>29</v>
      </c>
      <c r="B17" s="108"/>
      <c r="C17" s="108"/>
      <c r="D17" s="109"/>
      <c r="E17" s="108"/>
      <c r="F17" s="109"/>
      <c r="G17" s="109"/>
      <c r="H17" s="109"/>
      <c r="I17" s="109">
        <f>SUM(I7,I11,I13,I15)</f>
        <v>4.0000000000000008E-2</v>
      </c>
      <c r="J17" s="202">
        <f>SUM(J7,J11,J13,J15)</f>
        <v>0.13400000000000001</v>
      </c>
      <c r="K17" s="202">
        <f t="shared" ref="K17:P17" si="0">SUM(K7,K11,K13,K15)</f>
        <v>0.08</v>
      </c>
      <c r="L17" s="202">
        <f t="shared" si="0"/>
        <v>0.10599999999999998</v>
      </c>
      <c r="M17" s="202">
        <f t="shared" si="0"/>
        <v>5.7999999999999989E-2</v>
      </c>
      <c r="N17" s="202">
        <f t="shared" si="0"/>
        <v>9.0000000000000011E-2</v>
      </c>
      <c r="O17" s="202">
        <f t="shared" si="0"/>
        <v>3.5000000000000003E-2</v>
      </c>
      <c r="P17" s="202">
        <f t="shared" si="0"/>
        <v>7.5999999999999998E-2</v>
      </c>
      <c r="Q17" s="202">
        <f>SUM(Q7,Q11,Q13,Q15)</f>
        <v>-2.1999999999999999E-2</v>
      </c>
      <c r="R17" s="202">
        <f>SUM(R7,R11,R13,R15)</f>
        <v>-1.9000000000000003E-2</v>
      </c>
      <c r="S17" s="202">
        <f>SUM(S7,S11,S13,S15)</f>
        <v>-1.9999999999999997E-2</v>
      </c>
      <c r="T17" s="202">
        <f>SUM(T7,T11,T13,T15)</f>
        <v>-4.2999999999999997E-2</v>
      </c>
      <c r="U17" s="202">
        <f>SUM(U7,U11,U13,U15)</f>
        <v>-2.8000000000000004E-2</v>
      </c>
      <c r="V17" s="202">
        <f t="shared" ref="V17:AB17" si="1">SUM(V7,V11,V13,V15)</f>
        <v>-3.3999999999999996E-2</v>
      </c>
      <c r="W17" s="202">
        <f t="shared" si="1"/>
        <v>-2.8999999999999991E-2</v>
      </c>
      <c r="X17" s="202">
        <f t="shared" si="1"/>
        <v>2.9999999999999975E-3</v>
      </c>
      <c r="Y17" s="202">
        <f t="shared" si="1"/>
        <v>1.5999999999999993E-2</v>
      </c>
      <c r="Z17" s="202">
        <f t="shared" si="1"/>
        <v>8.9999999999999976E-3</v>
      </c>
      <c r="AA17" s="202">
        <f t="shared" si="1"/>
        <v>6.7000000000000004E-2</v>
      </c>
      <c r="AB17" s="202">
        <f t="shared" si="1"/>
        <v>2.8000000000000001E-2</v>
      </c>
      <c r="AC17" s="202">
        <f t="shared" ref="AC17:AI17" si="2">SUM(AC7,AC11,AC13,AC15)</f>
        <v>1.4E-2</v>
      </c>
      <c r="AD17" s="202">
        <f t="shared" si="2"/>
        <v>2.5000000000000001E-2</v>
      </c>
      <c r="AE17" s="202">
        <f t="shared" si="2"/>
        <v>-0.2</v>
      </c>
      <c r="AF17" s="202">
        <f t="shared" si="2"/>
        <v>-0.43</v>
      </c>
      <c r="AG17" s="202">
        <f t="shared" si="2"/>
        <v>-0.31599999999999995</v>
      </c>
      <c r="AH17" s="202">
        <f t="shared" si="2"/>
        <v>-7.4700000000000003E-2</v>
      </c>
      <c r="AI17" s="202">
        <f t="shared" si="2"/>
        <v>-0.23399999999999999</v>
      </c>
      <c r="AJ17" s="202">
        <f t="shared" ref="AJ17:AK17" si="3">SUM(AJ7,AJ11,AJ13,AJ15)</f>
        <v>-6.0999999999999999E-2</v>
      </c>
      <c r="AK17" s="202">
        <f t="shared" si="3"/>
        <v>-0.19199999999999998</v>
      </c>
    </row>
    <row r="18" spans="1:39" hidden="1" outlineLevel="1" x14ac:dyDescent="0.3"/>
    <row r="19" spans="1:39" hidden="1" outlineLevel="1" x14ac:dyDescent="0.3"/>
    <row r="20" spans="1:39" ht="13.5" hidden="1" outlineLevel="1" thickBot="1" x14ac:dyDescent="0.35">
      <c r="A20" s="12" t="s">
        <v>325</v>
      </c>
      <c r="B20" s="12"/>
      <c r="C20" s="14"/>
      <c r="D20" s="14"/>
      <c r="E20" s="14"/>
      <c r="F20" s="14"/>
      <c r="G20" s="14"/>
      <c r="H20" s="14"/>
      <c r="I20" s="14" t="str">
        <f t="shared" ref="I20:AE20" si="4">I4</f>
        <v>FY 2016</v>
      </c>
      <c r="J20" s="14" t="str">
        <f t="shared" si="4"/>
        <v>1Q 2017</v>
      </c>
      <c r="K20" s="14" t="str">
        <f t="shared" si="4"/>
        <v>2Q 2017</v>
      </c>
      <c r="L20" s="14" t="str">
        <f t="shared" si="4"/>
        <v>1H 2017</v>
      </c>
      <c r="M20" s="14" t="str">
        <f t="shared" si="4"/>
        <v>3Q 2017</v>
      </c>
      <c r="N20" s="14" t="str">
        <f t="shared" si="4"/>
        <v>9M 2017</v>
      </c>
      <c r="O20" s="14" t="str">
        <f t="shared" si="4"/>
        <v>4Q 2017</v>
      </c>
      <c r="P20" s="14" t="str">
        <f t="shared" si="4"/>
        <v>FY 2017</v>
      </c>
      <c r="Q20" s="14" t="str">
        <f t="shared" si="4"/>
        <v>1Q 2018</v>
      </c>
      <c r="R20" s="176" t="str">
        <f t="shared" si="4"/>
        <v>2Q 2018</v>
      </c>
      <c r="S20" s="176" t="str">
        <f t="shared" si="4"/>
        <v>1H 2018</v>
      </c>
      <c r="T20" s="14" t="str">
        <f t="shared" si="4"/>
        <v>3Q 2018</v>
      </c>
      <c r="U20" s="14" t="str">
        <f t="shared" si="4"/>
        <v>9M 2018</v>
      </c>
      <c r="V20" s="14" t="str">
        <f t="shared" si="4"/>
        <v>4Q 2018</v>
      </c>
      <c r="W20" s="14" t="str">
        <f t="shared" si="4"/>
        <v>FY 2018</v>
      </c>
      <c r="X20" s="14" t="str">
        <f t="shared" si="4"/>
        <v>1Q 2019</v>
      </c>
      <c r="Y20" s="176" t="str">
        <f t="shared" si="4"/>
        <v>2Q 2019</v>
      </c>
      <c r="Z20" s="176" t="str">
        <f t="shared" si="4"/>
        <v>1H 2019</v>
      </c>
      <c r="AA20" s="14" t="str">
        <f t="shared" si="4"/>
        <v>3Q 2019</v>
      </c>
      <c r="AB20" s="14" t="str">
        <f t="shared" si="4"/>
        <v>9M 2019</v>
      </c>
      <c r="AC20" s="14" t="str">
        <f t="shared" si="4"/>
        <v>4Q 2019</v>
      </c>
      <c r="AD20" s="14" t="str">
        <f t="shared" si="4"/>
        <v>FY 2019</v>
      </c>
      <c r="AE20" s="14" t="str">
        <f t="shared" si="4"/>
        <v>1Q 2020</v>
      </c>
      <c r="AF20" s="176" t="str">
        <f t="shared" ref="AF20:AG20" si="5">AF4</f>
        <v>2Q 2020</v>
      </c>
      <c r="AG20" s="176" t="str">
        <f t="shared" si="5"/>
        <v>1H 2020</v>
      </c>
      <c r="AH20" s="176" t="str">
        <f t="shared" ref="AH20:AI20" si="6">AH4</f>
        <v>3Q 2020</v>
      </c>
      <c r="AI20" s="176" t="str">
        <f t="shared" si="6"/>
        <v>9M 2020</v>
      </c>
      <c r="AJ20" s="239"/>
      <c r="AK20" s="239"/>
    </row>
    <row r="21" spans="1:39" hidden="1" outlineLevel="1" x14ac:dyDescent="0.3">
      <c r="C21" s="41"/>
      <c r="D21" s="41"/>
      <c r="E21" s="41"/>
      <c r="F21" s="41"/>
      <c r="G21" s="41"/>
      <c r="H21" s="41"/>
      <c r="I21" s="41" t="str">
        <f t="shared" ref="I21:AE21" si="7">I5</f>
        <v>restated</v>
      </c>
      <c r="J21" s="41" t="str">
        <f t="shared" si="7"/>
        <v>reported</v>
      </c>
      <c r="K21" s="177" t="str">
        <f t="shared" si="7"/>
        <v>reported</v>
      </c>
      <c r="L21" s="41" t="str">
        <f t="shared" si="7"/>
        <v>reported</v>
      </c>
      <c r="M21" s="177" t="str">
        <f t="shared" si="7"/>
        <v>reported</v>
      </c>
      <c r="N21" s="41" t="str">
        <f t="shared" si="7"/>
        <v>reported</v>
      </c>
      <c r="O21" s="41" t="str">
        <f t="shared" si="7"/>
        <v>reported</v>
      </c>
      <c r="P21" s="41" t="str">
        <f t="shared" si="7"/>
        <v>reported</v>
      </c>
      <c r="Q21" s="41" t="str">
        <f t="shared" si="7"/>
        <v>reported</v>
      </c>
      <c r="R21" s="41" t="str">
        <f t="shared" si="7"/>
        <v>reported</v>
      </c>
      <c r="S21" s="41" t="str">
        <f t="shared" si="7"/>
        <v>reported</v>
      </c>
      <c r="T21" s="41" t="str">
        <f t="shared" si="7"/>
        <v>reported</v>
      </c>
      <c r="U21" s="41" t="str">
        <f t="shared" si="7"/>
        <v>reported</v>
      </c>
      <c r="V21" s="41" t="str">
        <f t="shared" si="7"/>
        <v>reported</v>
      </c>
      <c r="W21" s="41" t="str">
        <f t="shared" si="7"/>
        <v>reported</v>
      </c>
      <c r="X21" s="41" t="str">
        <f t="shared" si="7"/>
        <v>reported</v>
      </c>
      <c r="Y21" s="41" t="str">
        <f t="shared" si="7"/>
        <v>reported</v>
      </c>
      <c r="Z21" s="41" t="str">
        <f t="shared" si="7"/>
        <v>reported</v>
      </c>
      <c r="AA21" s="41" t="str">
        <f t="shared" si="7"/>
        <v>reported</v>
      </c>
      <c r="AB21" s="41" t="str">
        <f t="shared" si="7"/>
        <v>reported</v>
      </c>
      <c r="AC21" s="41" t="str">
        <f t="shared" si="7"/>
        <v>reported</v>
      </c>
      <c r="AD21" s="41" t="str">
        <f t="shared" si="7"/>
        <v>reported</v>
      </c>
      <c r="AE21" s="41" t="str">
        <f t="shared" si="7"/>
        <v>reported</v>
      </c>
      <c r="AF21" s="41" t="str">
        <f t="shared" ref="AF21:AG21" si="8">AF5</f>
        <v>reported</v>
      </c>
      <c r="AG21" s="41" t="str">
        <f t="shared" si="8"/>
        <v>reported</v>
      </c>
      <c r="AH21" s="41" t="str">
        <f t="shared" ref="AH21:AI21" si="9">AH5</f>
        <v>reported</v>
      </c>
      <c r="AI21" s="41" t="str">
        <f t="shared" si="9"/>
        <v>reported</v>
      </c>
      <c r="AJ21" s="41"/>
      <c r="AK21" s="41"/>
    </row>
    <row r="22" spans="1:39" hidden="1" outlineLevel="1" x14ac:dyDescent="0.3"/>
    <row r="23" spans="1:39" hidden="1" outlineLevel="1" x14ac:dyDescent="0.3">
      <c r="A23" s="15" t="s">
        <v>276</v>
      </c>
      <c r="B23" s="26"/>
      <c r="C23" s="90" t="s">
        <v>230</v>
      </c>
      <c r="D23" s="81" t="str">
        <f>IFERROR(E23-C23,"n.a.")</f>
        <v>n.a.</v>
      </c>
      <c r="E23" s="45" t="s">
        <v>230</v>
      </c>
      <c r="F23" s="81" t="str">
        <f>IFERROR(G23-E23,"n.a.")</f>
        <v>n.a.</v>
      </c>
      <c r="G23" s="45" t="s">
        <v>230</v>
      </c>
      <c r="H23" s="81" t="str">
        <f>IFERROR(I23-G23,"n.a.")</f>
        <v>n.a.</v>
      </c>
      <c r="I23" s="56" t="s">
        <v>230</v>
      </c>
      <c r="J23" s="90" t="s">
        <v>230</v>
      </c>
      <c r="K23" s="81" t="str">
        <f>IFERROR(L23-J23,"n.a.")</f>
        <v>n.a.</v>
      </c>
      <c r="L23" s="45" t="s">
        <v>230</v>
      </c>
      <c r="M23" s="81" t="str">
        <f>IFERROR(N23-L23,"n.a.")</f>
        <v>n.a.</v>
      </c>
      <c r="N23" s="45" t="s">
        <v>230</v>
      </c>
      <c r="O23" s="81" t="str">
        <f>IFERROR(P23-N23,"n.a.")</f>
        <v>n.a.</v>
      </c>
      <c r="P23" s="56" t="s">
        <v>230</v>
      </c>
      <c r="Q23" s="90">
        <v>612.53599999999994</v>
      </c>
      <c r="R23" s="81">
        <f>IFERROR(S23-Q23,"n.a.")</f>
        <v>600.27200000000005</v>
      </c>
      <c r="S23" s="45">
        <v>1212.808</v>
      </c>
      <c r="T23" s="81">
        <f>IFERROR(U23-S23,"n.a.")</f>
        <v>588.57300000000009</v>
      </c>
      <c r="U23" s="45">
        <v>1801.3810000000001</v>
      </c>
      <c r="V23" s="81">
        <f>IFERROR(W23-U23,"n.a.")</f>
        <v>527.75499999999988</v>
      </c>
      <c r="W23" s="56">
        <f>'Adj. Rev. detail - FY'!H23</f>
        <v>2329.136</v>
      </c>
      <c r="X23" s="90">
        <v>598.71100000000001</v>
      </c>
      <c r="Y23" s="81">
        <f>IFERROR(Z23-X23,"n.a.")</f>
        <v>568.0150000000001</v>
      </c>
      <c r="Z23" s="45">
        <v>1166.7260000000001</v>
      </c>
      <c r="AA23" s="81">
        <f>IFERROR(AB23-Z23,"n.a.")</f>
        <v>592.14199999999983</v>
      </c>
      <c r="AB23" s="45">
        <v>1758.8679999999999</v>
      </c>
      <c r="AC23" s="81">
        <f>IFERROR(AD23-AB23,"n.a.")</f>
        <v>529.80799999999999</v>
      </c>
      <c r="AD23" s="56">
        <f>'Adj. Rev. detail - FY'!I23</f>
        <v>2288.6759999999999</v>
      </c>
      <c r="AE23" s="90" t="s">
        <v>230</v>
      </c>
      <c r="AF23" s="81" t="str">
        <f>IFERROR(AG23-AE23,"n.a.")</f>
        <v>n.a.</v>
      </c>
      <c r="AG23" s="45" t="s">
        <v>230</v>
      </c>
      <c r="AH23" s="81" t="str">
        <f>IFERROR(AI23-AG23,"n.a.")</f>
        <v>n.a.</v>
      </c>
      <c r="AI23" s="45" t="s">
        <v>230</v>
      </c>
      <c r="AJ23" s="237"/>
      <c r="AK23" s="237"/>
      <c r="AM23" s="182"/>
    </row>
    <row r="24" spans="1:39" s="30" customFormat="1" ht="13" hidden="1" outlineLevel="1" x14ac:dyDescent="0.3">
      <c r="A24" s="28" t="s">
        <v>82</v>
      </c>
      <c r="B24" s="28"/>
      <c r="C24" s="194" t="str">
        <f>IFERROR(C23/C38,"")</f>
        <v/>
      </c>
      <c r="D24" s="194" t="str">
        <f t="shared" ref="D24:X24" si="10">IFERROR(D23/D38,"")</f>
        <v/>
      </c>
      <c r="E24" s="194" t="str">
        <f t="shared" si="10"/>
        <v/>
      </c>
      <c r="F24" s="194" t="str">
        <f t="shared" si="10"/>
        <v/>
      </c>
      <c r="G24" s="194" t="str">
        <f t="shared" si="10"/>
        <v/>
      </c>
      <c r="H24" s="194" t="str">
        <f t="shared" si="10"/>
        <v/>
      </c>
      <c r="I24" s="194" t="str">
        <f t="shared" si="10"/>
        <v/>
      </c>
      <c r="J24" s="194" t="str">
        <f t="shared" si="10"/>
        <v/>
      </c>
      <c r="K24" s="194" t="str">
        <f t="shared" si="10"/>
        <v/>
      </c>
      <c r="L24" s="194" t="str">
        <f t="shared" si="10"/>
        <v/>
      </c>
      <c r="M24" s="194" t="str">
        <f t="shared" si="10"/>
        <v/>
      </c>
      <c r="N24" s="194" t="str">
        <f t="shared" si="10"/>
        <v/>
      </c>
      <c r="O24" s="194" t="str">
        <f t="shared" si="10"/>
        <v/>
      </c>
      <c r="P24" s="194" t="str">
        <f t="shared" si="10"/>
        <v/>
      </c>
      <c r="Q24" s="194">
        <f t="shared" si="10"/>
        <v>0.46747981750660533</v>
      </c>
      <c r="R24" s="194">
        <f t="shared" si="10"/>
        <v>0.45474014664784895</v>
      </c>
      <c r="S24" s="194">
        <f t="shared" si="10"/>
        <v>0.46108639724262418</v>
      </c>
      <c r="T24" s="194">
        <f t="shared" si="10"/>
        <v>0.45451442489240901</v>
      </c>
      <c r="U24" s="194">
        <f t="shared" si="10"/>
        <v>0.45891830281488488</v>
      </c>
      <c r="V24" s="194">
        <f t="shared" si="10"/>
        <v>0.41582065397667323</v>
      </c>
      <c r="W24" s="194">
        <f t="shared" si="10"/>
        <v>0.44838804381201913</v>
      </c>
      <c r="X24" s="194">
        <f t="shared" si="10"/>
        <v>0.45570835201320142</v>
      </c>
      <c r="Y24" s="194">
        <f t="shared" ref="Y24:AE24" si="11">IFERROR(Y23/Y38,"")</f>
        <v>0.42356242384653126</v>
      </c>
      <c r="Z24" s="194">
        <f t="shared" si="11"/>
        <v>0.4394704775608369</v>
      </c>
      <c r="AA24" s="194">
        <f t="shared" si="11"/>
        <v>0.4286104120115321</v>
      </c>
      <c r="AB24" s="194">
        <f t="shared" si="11"/>
        <v>0.43575338719011869</v>
      </c>
      <c r="AC24" s="194">
        <f t="shared" si="11"/>
        <v>0.41176712891971434</v>
      </c>
      <c r="AD24" s="194">
        <f t="shared" si="11"/>
        <v>0.42995551612955946</v>
      </c>
      <c r="AE24" s="194" t="str">
        <f t="shared" si="11"/>
        <v/>
      </c>
      <c r="AF24" s="194" t="str">
        <f t="shared" ref="AF24:AG24" si="12">IFERROR(AF23/AF38,"")</f>
        <v/>
      </c>
      <c r="AG24" s="194" t="str">
        <f t="shared" si="12"/>
        <v/>
      </c>
      <c r="AH24" s="194" t="str">
        <f t="shared" ref="AH24:AI24" si="13">IFERROR(AH23/AH38,"")</f>
        <v/>
      </c>
      <c r="AI24" s="194" t="str">
        <f t="shared" si="13"/>
        <v/>
      </c>
      <c r="AJ24" s="240"/>
      <c r="AK24" s="240"/>
    </row>
    <row r="25" spans="1:39" hidden="1" outlineLevel="1" x14ac:dyDescent="0.3">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9" hidden="1" outlineLevel="1" x14ac:dyDescent="0.3">
      <c r="A26" s="15" t="s">
        <v>277</v>
      </c>
      <c r="B26" s="26"/>
      <c r="C26" s="90" t="s">
        <v>230</v>
      </c>
      <c r="D26" s="81" t="str">
        <f>IFERROR(E26-C26,"n.a.")</f>
        <v>n.a.</v>
      </c>
      <c r="E26" s="45" t="s">
        <v>230</v>
      </c>
      <c r="F26" s="81" t="str">
        <f>IFERROR(G26-E26,"n.a.")</f>
        <v>n.a.</v>
      </c>
      <c r="G26" s="45" t="s">
        <v>230</v>
      </c>
      <c r="H26" s="81" t="str">
        <f>IFERROR(I26-G26,"n.a.")</f>
        <v>n.a.</v>
      </c>
      <c r="I26" s="56" t="s">
        <v>230</v>
      </c>
      <c r="J26" s="90" t="s">
        <v>230</v>
      </c>
      <c r="K26" s="81" t="str">
        <f>IFERROR(L26-J26,"n.a.")</f>
        <v>n.a.</v>
      </c>
      <c r="L26" s="45" t="s">
        <v>230</v>
      </c>
      <c r="M26" s="81" t="str">
        <f>IFERROR(N26-L26,"n.a.")</f>
        <v>n.a.</v>
      </c>
      <c r="N26" s="45" t="s">
        <v>230</v>
      </c>
      <c r="O26" s="81" t="str">
        <f>IFERROR(P26-N26,"n.a.")</f>
        <v>n.a.</v>
      </c>
      <c r="P26" s="56" t="s">
        <v>230</v>
      </c>
      <c r="Q26" s="90">
        <v>243.46799999999999</v>
      </c>
      <c r="R26" s="81">
        <f>IFERROR(S26-Q26,"n.a.")</f>
        <v>243.51900000000003</v>
      </c>
      <c r="S26" s="45">
        <v>486.98700000000002</v>
      </c>
      <c r="T26" s="81">
        <f>IFERROR(U26-S26,"n.a.")</f>
        <v>266.04199999999997</v>
      </c>
      <c r="U26" s="45">
        <v>753.029</v>
      </c>
      <c r="V26" s="81">
        <f>IFERROR(W26-U26,"n.a.")</f>
        <v>250.99800000000005</v>
      </c>
      <c r="W26" s="56">
        <f>'Adj. Rev. detail - FY'!H26</f>
        <v>1004.027</v>
      </c>
      <c r="X26" s="90">
        <v>269.83999999999997</v>
      </c>
      <c r="Y26" s="81">
        <f>IFERROR(Z26-X26,"n.a.")</f>
        <v>274.161</v>
      </c>
      <c r="Z26" s="45">
        <v>544.00099999999998</v>
      </c>
      <c r="AA26" s="81">
        <f>IFERROR(AB26-Z26,"n.a.")</f>
        <v>298.88700000000006</v>
      </c>
      <c r="AB26" s="45">
        <v>842.88800000000003</v>
      </c>
      <c r="AC26" s="81">
        <f>IFERROR(AD26-AB26,"n.a.")</f>
        <v>258.96699999999998</v>
      </c>
      <c r="AD26" s="56">
        <f>'Adj. Rev. detail - FY'!I26</f>
        <v>1101.855</v>
      </c>
      <c r="AE26" s="90" t="s">
        <v>230</v>
      </c>
      <c r="AF26" s="81" t="str">
        <f>IFERROR(AG26-AE26,"n.a.")</f>
        <v>n.a.</v>
      </c>
      <c r="AG26" s="45" t="s">
        <v>230</v>
      </c>
      <c r="AH26" s="81" t="str">
        <f>IFERROR(AI26-AG26,"n.a.")</f>
        <v>n.a.</v>
      </c>
      <c r="AI26" s="45" t="s">
        <v>230</v>
      </c>
      <c r="AJ26" s="237"/>
      <c r="AK26" s="237"/>
      <c r="AM26" s="182"/>
    </row>
    <row r="27" spans="1:39" s="30" customFormat="1" ht="13" hidden="1" outlineLevel="1" x14ac:dyDescent="0.3">
      <c r="A27" s="28" t="s">
        <v>278</v>
      </c>
      <c r="B27" s="28"/>
      <c r="C27" s="194" t="str">
        <f>IFERROR(C26/C38,"")</f>
        <v/>
      </c>
      <c r="D27" s="194" t="str">
        <f t="shared" ref="D27:X27" si="14">IFERROR(D26/D38,"")</f>
        <v/>
      </c>
      <c r="E27" s="194" t="str">
        <f t="shared" si="14"/>
        <v/>
      </c>
      <c r="F27" s="194" t="str">
        <f t="shared" si="14"/>
        <v/>
      </c>
      <c r="G27" s="194" t="str">
        <f t="shared" si="14"/>
        <v/>
      </c>
      <c r="H27" s="194" t="str">
        <f t="shared" si="14"/>
        <v/>
      </c>
      <c r="I27" s="194" t="str">
        <f t="shared" si="14"/>
        <v/>
      </c>
      <c r="J27" s="194" t="str">
        <f t="shared" si="14"/>
        <v/>
      </c>
      <c r="K27" s="194" t="str">
        <f t="shared" si="14"/>
        <v/>
      </c>
      <c r="L27" s="194" t="str">
        <f t="shared" si="14"/>
        <v/>
      </c>
      <c r="M27" s="194" t="str">
        <f t="shared" si="14"/>
        <v/>
      </c>
      <c r="N27" s="194" t="str">
        <f t="shared" si="14"/>
        <v/>
      </c>
      <c r="O27" s="194" t="str">
        <f t="shared" si="14"/>
        <v/>
      </c>
      <c r="P27" s="194" t="str">
        <f t="shared" si="14"/>
        <v/>
      </c>
      <c r="Q27" s="194">
        <f t="shared" si="14"/>
        <v>0.18581173385515004</v>
      </c>
      <c r="R27" s="194">
        <f t="shared" si="14"/>
        <v>0.18447947892211786</v>
      </c>
      <c r="S27" s="194">
        <f t="shared" si="14"/>
        <v>0.18514313999742238</v>
      </c>
      <c r="T27" s="194">
        <f t="shared" si="14"/>
        <v>0.20544592875858431</v>
      </c>
      <c r="U27" s="194">
        <f t="shared" si="14"/>
        <v>0.19184103232486072</v>
      </c>
      <c r="V27" s="194">
        <f t="shared" si="14"/>
        <v>0.19776250818436031</v>
      </c>
      <c r="W27" s="194">
        <f t="shared" si="14"/>
        <v>0.19328785543843302</v>
      </c>
      <c r="X27" s="194">
        <f t="shared" si="14"/>
        <v>0.20538847909465879</v>
      </c>
      <c r="Y27" s="194">
        <f t="shared" ref="Y27:AE27" si="15">IFERROR(Y26/Y38,"")</f>
        <v>0.20443878715208019</v>
      </c>
      <c r="Z27" s="194">
        <f t="shared" si="15"/>
        <v>0.20490876115178097</v>
      </c>
      <c r="AA27" s="194">
        <f t="shared" si="15"/>
        <v>0.21634351256099188</v>
      </c>
      <c r="AB27" s="194">
        <f t="shared" si="15"/>
        <v>0.20882255008443201</v>
      </c>
      <c r="AC27" s="194">
        <f t="shared" si="15"/>
        <v>0.20126932412298731</v>
      </c>
      <c r="AD27" s="194">
        <f t="shared" si="15"/>
        <v>0.20699681179202989</v>
      </c>
      <c r="AE27" s="194" t="str">
        <f t="shared" si="15"/>
        <v/>
      </c>
      <c r="AF27" s="194" t="str">
        <f t="shared" ref="AF27:AG27" si="16">IFERROR(AF26/AF38,"")</f>
        <v/>
      </c>
      <c r="AG27" s="194" t="str">
        <f t="shared" si="16"/>
        <v/>
      </c>
      <c r="AH27" s="194" t="str">
        <f t="shared" ref="AH27:AI27" si="17">IFERROR(AH26/AH38,"")</f>
        <v/>
      </c>
      <c r="AI27" s="194" t="str">
        <f t="shared" si="17"/>
        <v/>
      </c>
      <c r="AJ27" s="240"/>
      <c r="AK27" s="240"/>
    </row>
    <row r="28" spans="1:39" hidden="1" outlineLevel="1" x14ac:dyDescent="0.3">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9" hidden="1" outlineLevel="1" x14ac:dyDescent="0.3">
      <c r="A29" s="15" t="s">
        <v>39</v>
      </c>
      <c r="B29" s="26"/>
      <c r="C29" s="90" t="s">
        <v>230</v>
      </c>
      <c r="D29" s="81" t="str">
        <f>IFERROR(E29-C29,"n.a.")</f>
        <v>n.a.</v>
      </c>
      <c r="E29" s="45" t="s">
        <v>230</v>
      </c>
      <c r="F29" s="81" t="str">
        <f>IFERROR(G29-E29,"n.a.")</f>
        <v>n.a.</v>
      </c>
      <c r="G29" s="45" t="s">
        <v>230</v>
      </c>
      <c r="H29" s="81" t="str">
        <f>IFERROR(I29-G29,"n.a.")</f>
        <v>n.a.</v>
      </c>
      <c r="I29" s="56" t="s">
        <v>230</v>
      </c>
      <c r="J29" s="90" t="s">
        <v>230</v>
      </c>
      <c r="K29" s="81" t="str">
        <f>IFERROR(L29-J29,"n.a.")</f>
        <v>n.a.</v>
      </c>
      <c r="L29" s="45" t="s">
        <v>230</v>
      </c>
      <c r="M29" s="81" t="str">
        <f>IFERROR(N29-L29,"n.a.")</f>
        <v>n.a.</v>
      </c>
      <c r="N29" s="45" t="s">
        <v>230</v>
      </c>
      <c r="O29" s="81" t="str">
        <f>IFERROR(P29-N29,"n.a.")</f>
        <v>n.a.</v>
      </c>
      <c r="P29" s="56" t="s">
        <v>230</v>
      </c>
      <c r="Q29" s="90">
        <v>200.60300000000001</v>
      </c>
      <c r="R29" s="81">
        <f>IFERROR(S29-Q29,"n.a.")</f>
        <v>237.42899999999997</v>
      </c>
      <c r="S29" s="45">
        <v>438.03199999999998</v>
      </c>
      <c r="T29" s="81">
        <f>IFERROR(U29-S29,"n.a.")</f>
        <v>244.59800000000001</v>
      </c>
      <c r="U29" s="45">
        <v>682.63</v>
      </c>
      <c r="V29" s="81">
        <f>IFERROR(W29-U29,"n.a.")</f>
        <v>221.18200000000002</v>
      </c>
      <c r="W29" s="56">
        <f>'Adj. Rev. detail - FY'!H29</f>
        <v>903.81200000000001</v>
      </c>
      <c r="X29" s="90">
        <v>214.22300000000001</v>
      </c>
      <c r="Y29" s="81">
        <f>IFERROR(Z29-X29,"n.a.")</f>
        <v>247.43</v>
      </c>
      <c r="Z29" s="45">
        <v>461.65300000000002</v>
      </c>
      <c r="AA29" s="81">
        <f>IFERROR(AB29-Z29,"n.a.")</f>
        <v>267.50299999999993</v>
      </c>
      <c r="AB29" s="45">
        <v>729.15599999999995</v>
      </c>
      <c r="AC29" s="81">
        <f>IFERROR(AD29-AB29,"n.a.")</f>
        <v>245.97500000000002</v>
      </c>
      <c r="AD29" s="56">
        <f>'Adj. Rev. detail - FY'!I29</f>
        <v>975.13099999999997</v>
      </c>
      <c r="AE29" s="90" t="s">
        <v>230</v>
      </c>
      <c r="AF29" s="81" t="str">
        <f>IFERROR(AG29-AE29,"n.a.")</f>
        <v>n.a.</v>
      </c>
      <c r="AG29" s="45" t="s">
        <v>230</v>
      </c>
      <c r="AH29" s="81" t="str">
        <f>IFERROR(AI29-AG29,"n.a.")</f>
        <v>n.a.</v>
      </c>
      <c r="AI29" s="45" t="s">
        <v>230</v>
      </c>
      <c r="AJ29" s="237"/>
      <c r="AK29" s="237"/>
      <c r="AM29" s="182"/>
    </row>
    <row r="30" spans="1:39" s="30" customFormat="1" ht="13" hidden="1" outlineLevel="1" x14ac:dyDescent="0.3">
      <c r="A30" s="28" t="s">
        <v>173</v>
      </c>
      <c r="B30" s="28"/>
      <c r="C30" s="194" t="str">
        <f>IFERROR(C29/C38,"")</f>
        <v/>
      </c>
      <c r="D30" s="194" t="str">
        <f t="shared" ref="D30:X30" si="18">IFERROR(D29/D38,"")</f>
        <v/>
      </c>
      <c r="E30" s="194" t="str">
        <f t="shared" si="18"/>
        <v/>
      </c>
      <c r="F30" s="194" t="str">
        <f t="shared" si="18"/>
        <v/>
      </c>
      <c r="G30" s="194" t="str">
        <f t="shared" si="18"/>
        <v/>
      </c>
      <c r="H30" s="194" t="str">
        <f t="shared" si="18"/>
        <v/>
      </c>
      <c r="I30" s="194" t="str">
        <f t="shared" si="18"/>
        <v/>
      </c>
      <c r="J30" s="194" t="str">
        <f t="shared" si="18"/>
        <v/>
      </c>
      <c r="K30" s="194" t="str">
        <f t="shared" si="18"/>
        <v/>
      </c>
      <c r="L30" s="194" t="str">
        <f t="shared" si="18"/>
        <v/>
      </c>
      <c r="M30" s="194" t="str">
        <f t="shared" si="18"/>
        <v/>
      </c>
      <c r="N30" s="194" t="str">
        <f t="shared" si="18"/>
        <v/>
      </c>
      <c r="O30" s="194" t="str">
        <f t="shared" si="18"/>
        <v/>
      </c>
      <c r="P30" s="194" t="str">
        <f t="shared" si="18"/>
        <v/>
      </c>
      <c r="Q30" s="194">
        <f t="shared" si="18"/>
        <v>0.15309770173716739</v>
      </c>
      <c r="R30" s="194">
        <f t="shared" si="18"/>
        <v>0.17986595789650708</v>
      </c>
      <c r="S30" s="194">
        <f t="shared" si="18"/>
        <v>0.16653138564140502</v>
      </c>
      <c r="T30" s="194">
        <f t="shared" si="18"/>
        <v>0.18888620324043653</v>
      </c>
      <c r="U30" s="194">
        <f t="shared" si="18"/>
        <v>0.17390624251644982</v>
      </c>
      <c r="V30" s="194">
        <f t="shared" si="18"/>
        <v>0.17427034113910539</v>
      </c>
      <c r="W30" s="194">
        <f t="shared" si="18"/>
        <v>0.1739952045109554</v>
      </c>
      <c r="X30" s="194">
        <f t="shared" si="18"/>
        <v>0.1630556483734624</v>
      </c>
      <c r="Y30" s="194">
        <f t="shared" ref="Y30:AE30" si="19">IFERROR(Y29/Y38,"")</f>
        <v>0.18450577983389033</v>
      </c>
      <c r="Z30" s="194">
        <f t="shared" si="19"/>
        <v>0.1738907544508248</v>
      </c>
      <c r="AA30" s="194">
        <f t="shared" si="19"/>
        <v>0.19362681762874592</v>
      </c>
      <c r="AB30" s="194">
        <f t="shared" si="19"/>
        <v>0.18064584539032955</v>
      </c>
      <c r="AC30" s="194">
        <f t="shared" si="19"/>
        <v>0.19117193310789332</v>
      </c>
      <c r="AD30" s="194">
        <f t="shared" si="19"/>
        <v>0.18319017300785845</v>
      </c>
      <c r="AE30" s="194" t="str">
        <f t="shared" si="19"/>
        <v/>
      </c>
      <c r="AF30" s="194" t="str">
        <f t="shared" ref="AF30:AG30" si="20">IFERROR(AF29/AF38,"")</f>
        <v/>
      </c>
      <c r="AG30" s="194" t="str">
        <f t="shared" si="20"/>
        <v/>
      </c>
      <c r="AH30" s="194" t="str">
        <f t="shared" ref="AH30:AI30" si="21">IFERROR(AH29/AH38,"")</f>
        <v/>
      </c>
      <c r="AI30" s="194" t="str">
        <f t="shared" si="21"/>
        <v/>
      </c>
      <c r="AJ30" s="240"/>
      <c r="AK30" s="240"/>
    </row>
    <row r="31" spans="1:39" hidden="1" outlineLevel="1" x14ac:dyDescent="0.3">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9" hidden="1" outlineLevel="1" x14ac:dyDescent="0.3">
      <c r="A32" s="15" t="s">
        <v>279</v>
      </c>
      <c r="B32" s="26"/>
      <c r="C32" s="90" t="s">
        <v>230</v>
      </c>
      <c r="D32" s="81" t="str">
        <f>IFERROR(E32-C32,"n.a.")</f>
        <v>n.a.</v>
      </c>
      <c r="E32" s="45" t="s">
        <v>230</v>
      </c>
      <c r="F32" s="81" t="str">
        <f>IFERROR(G32-E32,"n.a.")</f>
        <v>n.a.</v>
      </c>
      <c r="G32" s="45" t="s">
        <v>230</v>
      </c>
      <c r="H32" s="81" t="str">
        <f>IFERROR(I32-G32,"n.a.")</f>
        <v>n.a.</v>
      </c>
      <c r="I32" s="56" t="s">
        <v>230</v>
      </c>
      <c r="J32" s="90" t="s">
        <v>230</v>
      </c>
      <c r="K32" s="81" t="str">
        <f>IFERROR(L32-J32,"n.a.")</f>
        <v>n.a.</v>
      </c>
      <c r="L32" s="45" t="s">
        <v>230</v>
      </c>
      <c r="M32" s="81" t="str">
        <f>IFERROR(N32-L32,"n.a.")</f>
        <v>n.a.</v>
      </c>
      <c r="N32" s="45" t="s">
        <v>230</v>
      </c>
      <c r="O32" s="81" t="str">
        <f>IFERROR(P32-N32,"n.a.")</f>
        <v>n.a.</v>
      </c>
      <c r="P32" s="56" t="s">
        <v>230</v>
      </c>
      <c r="Q32" s="90">
        <v>189.297</v>
      </c>
      <c r="R32" s="81">
        <f>IFERROR(S32-Q32,"n.a.")</f>
        <v>165.631</v>
      </c>
      <c r="S32" s="45">
        <v>354.928</v>
      </c>
      <c r="T32" s="81">
        <f>IFERROR(U32-S32,"n.a.")</f>
        <v>144.45600000000002</v>
      </c>
      <c r="U32" s="45">
        <v>499.38400000000001</v>
      </c>
      <c r="V32" s="81">
        <f>IFERROR(W32-U32,"n.a.")</f>
        <v>192.49</v>
      </c>
      <c r="W32" s="56">
        <f>'Adj. Rev. detail - FY'!H32</f>
        <v>691.87400000000002</v>
      </c>
      <c r="X32" s="90">
        <v>167.15299999999999</v>
      </c>
      <c r="Y32" s="81">
        <f>IFERROR(Z32-X32,"n.a.")</f>
        <v>178.07200000000003</v>
      </c>
      <c r="Z32" s="45">
        <v>345.22500000000002</v>
      </c>
      <c r="AA32" s="81">
        <f>IFERROR(AB32-Z32,"n.a.")</f>
        <v>162.83199999999999</v>
      </c>
      <c r="AB32" s="45">
        <v>508.05700000000002</v>
      </c>
      <c r="AC32" s="81">
        <f>IFERROR(AD32-AB32,"n.a.")</f>
        <v>173.93299999999999</v>
      </c>
      <c r="AD32" s="56">
        <f>'Adj. Rev. detail - FY'!I32</f>
        <v>681.99</v>
      </c>
      <c r="AE32" s="90" t="s">
        <v>230</v>
      </c>
      <c r="AF32" s="81" t="str">
        <f>IFERROR(AG32-AE32,"n.a.")</f>
        <v>n.a.</v>
      </c>
      <c r="AG32" s="45" t="s">
        <v>230</v>
      </c>
      <c r="AH32" s="81" t="str">
        <f>IFERROR(AI32-AG32,"n.a.")</f>
        <v>n.a.</v>
      </c>
      <c r="AI32" s="45" t="s">
        <v>230</v>
      </c>
      <c r="AJ32" s="237"/>
      <c r="AK32" s="237"/>
      <c r="AM32" s="182"/>
    </row>
    <row r="33" spans="1:39" s="30" customFormat="1" ht="13" hidden="1" outlineLevel="1" x14ac:dyDescent="0.3">
      <c r="A33" s="28" t="s">
        <v>280</v>
      </c>
      <c r="B33" s="28"/>
      <c r="C33" s="194" t="str">
        <f>IFERROR(C32/C38,"")</f>
        <v/>
      </c>
      <c r="D33" s="194" t="str">
        <f t="shared" ref="D33:X33" si="22">IFERROR(D32/D38,"")</f>
        <v/>
      </c>
      <c r="E33" s="194" t="str">
        <f t="shared" si="22"/>
        <v/>
      </c>
      <c r="F33" s="194" t="str">
        <f t="shared" si="22"/>
        <v/>
      </c>
      <c r="G33" s="194" t="str">
        <f t="shared" si="22"/>
        <v/>
      </c>
      <c r="H33" s="194" t="str">
        <f t="shared" si="22"/>
        <v/>
      </c>
      <c r="I33" s="194" t="str">
        <f t="shared" si="22"/>
        <v/>
      </c>
      <c r="J33" s="194" t="str">
        <f t="shared" si="22"/>
        <v/>
      </c>
      <c r="K33" s="194" t="str">
        <f t="shared" si="22"/>
        <v/>
      </c>
      <c r="L33" s="194" t="str">
        <f t="shared" si="22"/>
        <v/>
      </c>
      <c r="M33" s="194" t="str">
        <f t="shared" si="22"/>
        <v/>
      </c>
      <c r="N33" s="194" t="str">
        <f t="shared" si="22"/>
        <v/>
      </c>
      <c r="O33" s="194" t="str">
        <f t="shared" si="22"/>
        <v/>
      </c>
      <c r="P33" s="194" t="str">
        <f t="shared" si="22"/>
        <v/>
      </c>
      <c r="Q33" s="194">
        <f t="shared" si="22"/>
        <v>0.14446910388050313</v>
      </c>
      <c r="R33" s="194">
        <f t="shared" si="22"/>
        <v>0.12547489343069451</v>
      </c>
      <c r="S33" s="194">
        <f t="shared" si="22"/>
        <v>0.13493683484981145</v>
      </c>
      <c r="T33" s="194">
        <f t="shared" si="22"/>
        <v>0.11155342797283911</v>
      </c>
      <c r="U33" s="194">
        <f t="shared" si="22"/>
        <v>0.12722264625468377</v>
      </c>
      <c r="V33" s="194">
        <f t="shared" si="22"/>
        <v>0.15166377899587849</v>
      </c>
      <c r="W33" s="194">
        <f t="shared" si="22"/>
        <v>0.13319446757269518</v>
      </c>
      <c r="X33" s="194">
        <f t="shared" si="22"/>
        <v>0.12722835919844908</v>
      </c>
      <c r="Y33" s="194">
        <f t="shared" ref="Y33:AE33" si="23">IFERROR(Y32/Y38,"")</f>
        <v>0.1327862960295054</v>
      </c>
      <c r="Z33" s="194">
        <f t="shared" si="23"/>
        <v>0.13003584013379313</v>
      </c>
      <c r="AA33" s="194">
        <f t="shared" si="23"/>
        <v>0.11786276029847877</v>
      </c>
      <c r="AB33" s="194">
        <f t="shared" si="23"/>
        <v>0.12586934246097498</v>
      </c>
      <c r="AC33" s="194">
        <f t="shared" si="23"/>
        <v>0.13518084293629518</v>
      </c>
      <c r="AD33" s="194">
        <f t="shared" si="23"/>
        <v>0.12812008447032183</v>
      </c>
      <c r="AE33" s="194" t="str">
        <f t="shared" si="23"/>
        <v/>
      </c>
      <c r="AF33" s="194" t="str">
        <f t="shared" ref="AF33:AG33" si="24">IFERROR(AF32/AF38,"")</f>
        <v/>
      </c>
      <c r="AG33" s="194" t="str">
        <f t="shared" si="24"/>
        <v/>
      </c>
      <c r="AH33" s="194" t="str">
        <f t="shared" ref="AH33:AI33" si="25">IFERROR(AH32/AH38,"")</f>
        <v/>
      </c>
      <c r="AI33" s="194" t="str">
        <f t="shared" si="25"/>
        <v/>
      </c>
      <c r="AJ33" s="240"/>
      <c r="AK33" s="240"/>
    </row>
    <row r="34" spans="1:39" hidden="1" outlineLevel="1" x14ac:dyDescent="0.3">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row>
    <row r="35" spans="1:39" hidden="1" outlineLevel="1" x14ac:dyDescent="0.3">
      <c r="A35" s="15" t="s">
        <v>281</v>
      </c>
      <c r="B35" s="26"/>
      <c r="C35" s="90" t="s">
        <v>230</v>
      </c>
      <c r="D35" s="81" t="str">
        <f>IFERROR(E35-C35,"n.a.")</f>
        <v>n.a.</v>
      </c>
      <c r="E35" s="45" t="s">
        <v>230</v>
      </c>
      <c r="F35" s="81" t="str">
        <f>IFERROR(G35-E35,"n.a.")</f>
        <v>n.a.</v>
      </c>
      <c r="G35" s="45" t="s">
        <v>230</v>
      </c>
      <c r="H35" s="81" t="str">
        <f>IFERROR(I35-G35,"n.a.")</f>
        <v>n.a.</v>
      </c>
      <c r="I35" s="56" t="s">
        <v>230</v>
      </c>
      <c r="J35" s="90" t="s">
        <v>230</v>
      </c>
      <c r="K35" s="81" t="str">
        <f>IFERROR(L35-J35,"n.a.")</f>
        <v>n.a.</v>
      </c>
      <c r="L35" s="45" t="s">
        <v>230</v>
      </c>
      <c r="M35" s="81" t="str">
        <f>IFERROR(N35-L35,"n.a.")</f>
        <v>n.a.</v>
      </c>
      <c r="N35" s="45" t="s">
        <v>230</v>
      </c>
      <c r="O35" s="81" t="str">
        <f>IFERROR(P35-N35,"n.a.")</f>
        <v>n.a.</v>
      </c>
      <c r="P35" s="56" t="s">
        <v>230</v>
      </c>
      <c r="Q35" s="90">
        <v>64.39</v>
      </c>
      <c r="R35" s="81">
        <f>IFERROR(S35-Q35,"n.a.")</f>
        <v>73.182000000000002</v>
      </c>
      <c r="S35" s="45">
        <v>137.572</v>
      </c>
      <c r="T35" s="81">
        <f>IFERROR(U35-S35,"n.a.")</f>
        <v>51.28</v>
      </c>
      <c r="U35" s="45">
        <v>188.852</v>
      </c>
      <c r="V35" s="81">
        <f>IFERROR(W35-U35,"n.a.")</f>
        <v>76.763999999999982</v>
      </c>
      <c r="W35" s="56">
        <f>'Adj. Rev. detail - FY'!H35</f>
        <v>265.61599999999999</v>
      </c>
      <c r="X35" s="90">
        <v>63.875999999999998</v>
      </c>
      <c r="Y35" s="81">
        <f>IFERROR(Z35-X35,"n.a.")</f>
        <v>73.364000000000004</v>
      </c>
      <c r="Z35" s="45">
        <v>137.24</v>
      </c>
      <c r="AA35" s="81">
        <f>IFERROR(AB35-Z35,"n.a.")</f>
        <v>60.174999999999983</v>
      </c>
      <c r="AB35" s="45">
        <v>197.41499999999999</v>
      </c>
      <c r="AC35" s="81">
        <f>IFERROR(AD35-AB35,"n.a.")</f>
        <v>77.986000000000018</v>
      </c>
      <c r="AD35" s="56">
        <f>'Adj. Rev. detail - FY'!I35</f>
        <v>275.40100000000001</v>
      </c>
      <c r="AE35" s="90" t="s">
        <v>230</v>
      </c>
      <c r="AF35" s="81" t="str">
        <f>IFERROR(AG35-AE35,"n.a.")</f>
        <v>n.a.</v>
      </c>
      <c r="AG35" s="45" t="s">
        <v>230</v>
      </c>
      <c r="AH35" s="81" t="str">
        <f>IFERROR(AI35-AG35,"n.a.")</f>
        <v>n.a.</v>
      </c>
      <c r="AI35" s="45" t="s">
        <v>230</v>
      </c>
      <c r="AJ35" s="237"/>
      <c r="AK35" s="237"/>
      <c r="AM35" s="182"/>
    </row>
    <row r="36" spans="1:39" s="30" customFormat="1" ht="13" hidden="1" outlineLevel="1" x14ac:dyDescent="0.3">
      <c r="A36" s="28" t="s">
        <v>282</v>
      </c>
      <c r="B36" s="28"/>
      <c r="C36" s="194" t="str">
        <f>IFERROR(C35/C38,"")</f>
        <v/>
      </c>
      <c r="D36" s="194" t="str">
        <f t="shared" ref="D36:X36" si="26">IFERROR(D35/D38,"")</f>
        <v/>
      </c>
      <c r="E36" s="194" t="str">
        <f t="shared" si="26"/>
        <v/>
      </c>
      <c r="F36" s="194" t="str">
        <f t="shared" si="26"/>
        <v/>
      </c>
      <c r="G36" s="194" t="str">
        <f t="shared" si="26"/>
        <v/>
      </c>
      <c r="H36" s="194" t="str">
        <f t="shared" si="26"/>
        <v/>
      </c>
      <c r="I36" s="194" t="str">
        <f t="shared" si="26"/>
        <v/>
      </c>
      <c r="J36" s="194" t="str">
        <f t="shared" si="26"/>
        <v/>
      </c>
      <c r="K36" s="194" t="str">
        <f t="shared" si="26"/>
        <v/>
      </c>
      <c r="L36" s="194" t="str">
        <f t="shared" si="26"/>
        <v/>
      </c>
      <c r="M36" s="194" t="str">
        <f t="shared" si="26"/>
        <v/>
      </c>
      <c r="N36" s="194" t="str">
        <f t="shared" si="26"/>
        <v/>
      </c>
      <c r="O36" s="194" t="str">
        <f t="shared" si="26"/>
        <v/>
      </c>
      <c r="P36" s="194" t="str">
        <f t="shared" si="26"/>
        <v/>
      </c>
      <c r="Q36" s="194">
        <f t="shared" si="26"/>
        <v>4.9141643020574007E-2</v>
      </c>
      <c r="R36" s="194">
        <f t="shared" si="26"/>
        <v>5.5439523102831519E-2</v>
      </c>
      <c r="S36" s="194">
        <f t="shared" si="26"/>
        <v>5.2302242268736927E-2</v>
      </c>
      <c r="T36" s="194">
        <f t="shared" si="26"/>
        <v>3.960001513573122E-2</v>
      </c>
      <c r="U36" s="194">
        <f t="shared" si="26"/>
        <v>4.8111776089120872E-2</v>
      </c>
      <c r="V36" s="194">
        <f t="shared" si="26"/>
        <v>6.0482717703982614E-2</v>
      </c>
      <c r="W36" s="194">
        <f t="shared" si="26"/>
        <v>5.1134428665897257E-2</v>
      </c>
      <c r="X36" s="194">
        <f t="shared" si="26"/>
        <v>4.861916132022838E-2</v>
      </c>
      <c r="Y36" s="194">
        <f t="shared" ref="Y36:AE36" si="27">IFERROR(Y35/Y38,"")</f>
        <v>5.4706713137992684E-2</v>
      </c>
      <c r="Z36" s="194">
        <f t="shared" si="27"/>
        <v>5.1694166702764187E-2</v>
      </c>
      <c r="AA36" s="194">
        <f t="shared" si="27"/>
        <v>4.3556497500251534E-2</v>
      </c>
      <c r="AB36" s="194">
        <f t="shared" si="27"/>
        <v>4.8908874874144775E-2</v>
      </c>
      <c r="AC36" s="194">
        <f t="shared" si="27"/>
        <v>6.0610770913109756E-2</v>
      </c>
      <c r="AD36" s="194">
        <f t="shared" si="27"/>
        <v>5.1737414600230361E-2</v>
      </c>
      <c r="AE36" s="194" t="str">
        <f t="shared" si="27"/>
        <v/>
      </c>
      <c r="AF36" s="194" t="str">
        <f t="shared" ref="AF36:AG36" si="28">IFERROR(AF35/AF38,"")</f>
        <v/>
      </c>
      <c r="AG36" s="194" t="str">
        <f t="shared" si="28"/>
        <v/>
      </c>
      <c r="AH36" s="194" t="str">
        <f t="shared" ref="AH36:AI36" si="29">IFERROR(AH35/AH38,"")</f>
        <v/>
      </c>
      <c r="AI36" s="194" t="str">
        <f t="shared" si="29"/>
        <v/>
      </c>
      <c r="AJ36" s="240"/>
      <c r="AK36" s="240"/>
    </row>
    <row r="37" spans="1:39" hidden="1" outlineLevel="1" x14ac:dyDescent="0.3">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row>
    <row r="38" spans="1:39" s="25" customFormat="1" ht="13" hidden="1" outlineLevel="1" x14ac:dyDescent="0.3">
      <c r="A38" s="103" t="s">
        <v>29</v>
      </c>
      <c r="B38" s="103"/>
      <c r="C38" s="104">
        <f>C65</f>
        <v>1180.8489999999999</v>
      </c>
      <c r="D38" s="104">
        <f>IFERROR(E38-C38,"n.a.")</f>
        <v>1246.0310000000002</v>
      </c>
      <c r="E38" s="104">
        <f>E65</f>
        <v>2426.88</v>
      </c>
      <c r="F38" s="104">
        <f>IFERROR(G38-E38,"n.a.")</f>
        <v>1279.5909999999994</v>
      </c>
      <c r="G38" s="104">
        <f>G65</f>
        <v>3706.4709999999995</v>
      </c>
      <c r="H38" s="104">
        <f>IFERROR(I38-G38,"n.a.")</f>
        <v>1269.9250000000002</v>
      </c>
      <c r="I38" s="104">
        <f>I65</f>
        <v>4976.3959999999997</v>
      </c>
      <c r="J38" s="104">
        <f>J65</f>
        <v>1339.2540000000001</v>
      </c>
      <c r="K38" s="104">
        <f>IFERROR(L38-J38,"n.a.")</f>
        <v>1346.0910000000006</v>
      </c>
      <c r="L38" s="104">
        <f>L65</f>
        <v>2685.3450000000007</v>
      </c>
      <c r="M38" s="104">
        <f>IFERROR(N38-L38,"n.a.")</f>
        <v>1353.15</v>
      </c>
      <c r="N38" s="104">
        <f>N65</f>
        <v>4038.4950000000008</v>
      </c>
      <c r="O38" s="104">
        <f>IFERROR(P38-N38,"n.a.")</f>
        <v>1313.780999999999</v>
      </c>
      <c r="P38" s="104">
        <f>P65</f>
        <v>5352.2759999999998</v>
      </c>
      <c r="Q38" s="104">
        <f t="shared" ref="Q38:W38" si="30">IFERROR(Q23+Q26+Q29+Q32+Q35,"n.a.")</f>
        <v>1310.2940000000001</v>
      </c>
      <c r="R38" s="104">
        <f t="shared" si="30"/>
        <v>1320.0330000000001</v>
      </c>
      <c r="S38" s="104">
        <f t="shared" si="30"/>
        <v>2630.3270000000002</v>
      </c>
      <c r="T38" s="104">
        <f t="shared" si="30"/>
        <v>1294.9489999999998</v>
      </c>
      <c r="U38" s="104">
        <f t="shared" si="30"/>
        <v>3925.2759999999998</v>
      </c>
      <c r="V38" s="104">
        <f t="shared" si="30"/>
        <v>1269.1889999999999</v>
      </c>
      <c r="W38" s="104">
        <f t="shared" si="30"/>
        <v>5194.4650000000001</v>
      </c>
      <c r="X38" s="104">
        <f>IFERROR(X23+X26+X29+X32+X35,"n.a.")</f>
        <v>1313.8029999999999</v>
      </c>
      <c r="Y38" s="104">
        <f t="shared" ref="Y38:AD38" si="31">IFERROR(Y23+Y26+Y29+Y32+Y35,"n.a.")</f>
        <v>1341.0420000000004</v>
      </c>
      <c r="Z38" s="104">
        <f t="shared" si="31"/>
        <v>2654.8450000000003</v>
      </c>
      <c r="AA38" s="104">
        <f t="shared" si="31"/>
        <v>1381.5389999999995</v>
      </c>
      <c r="AB38" s="104">
        <f t="shared" si="31"/>
        <v>4036.384</v>
      </c>
      <c r="AC38" s="104">
        <f t="shared" si="31"/>
        <v>1286.6690000000001</v>
      </c>
      <c r="AD38" s="104">
        <f t="shared" si="31"/>
        <v>5323.0529999999999</v>
      </c>
      <c r="AE38" s="104" t="str">
        <f>IFERROR(AE23+AE26+AE29+AE32+AE35,"n.a.")</f>
        <v>n.a.</v>
      </c>
      <c r="AF38" s="104" t="str">
        <f t="shared" ref="AF38:AG38" si="32">IFERROR(AF23+AF26+AF29+AF32+AF35,"n.a.")</f>
        <v>n.a.</v>
      </c>
      <c r="AG38" s="104" t="str">
        <f t="shared" si="32"/>
        <v>n.a.</v>
      </c>
      <c r="AH38" s="104" t="str">
        <f t="shared" ref="AH38:AI38" si="33">IFERROR(AH23+AH26+AH29+AH32+AH35,"n.a.")</f>
        <v>n.a.</v>
      </c>
      <c r="AI38" s="104" t="str">
        <f t="shared" si="33"/>
        <v>n.a.</v>
      </c>
      <c r="AJ38" s="238"/>
      <c r="AK38" s="238"/>
    </row>
    <row r="39" spans="1:39" hidden="1" outlineLevel="1" x14ac:dyDescent="0.3">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row>
    <row r="40" spans="1:39" s="30" customFormat="1" ht="13" hidden="1" outlineLevel="1" x14ac:dyDescent="0.3">
      <c r="A40" s="28" t="s">
        <v>273</v>
      </c>
      <c r="B40" s="28"/>
      <c r="C40" s="194" t="str">
        <f t="shared" ref="C40:G40" si="34">IFERROR((C23+C26+C29)/C38,"n.a.")</f>
        <v>n.a.</v>
      </c>
      <c r="D40" s="194" t="str">
        <f t="shared" si="34"/>
        <v>n.a.</v>
      </c>
      <c r="E40" s="194" t="str">
        <f t="shared" si="34"/>
        <v>n.a.</v>
      </c>
      <c r="F40" s="194" t="str">
        <f t="shared" si="34"/>
        <v>n.a.</v>
      </c>
      <c r="G40" s="194" t="str">
        <f t="shared" si="34"/>
        <v>n.a.</v>
      </c>
      <c r="H40" s="194" t="str">
        <f>IFERROR((H23+H26+H29)/H38,"n.a.")</f>
        <v>n.a.</v>
      </c>
      <c r="I40" s="194" t="str">
        <f t="shared" ref="I40:X40" si="35">IFERROR((I23+I26+I29)/I38,"n.a.")</f>
        <v>n.a.</v>
      </c>
      <c r="J40" s="194" t="str">
        <f t="shared" si="35"/>
        <v>n.a.</v>
      </c>
      <c r="K40" s="194" t="str">
        <f t="shared" si="35"/>
        <v>n.a.</v>
      </c>
      <c r="L40" s="194" t="str">
        <f t="shared" si="35"/>
        <v>n.a.</v>
      </c>
      <c r="M40" s="194" t="str">
        <f t="shared" si="35"/>
        <v>n.a.</v>
      </c>
      <c r="N40" s="194" t="str">
        <f t="shared" si="35"/>
        <v>n.a.</v>
      </c>
      <c r="O40" s="194" t="str">
        <f t="shared" si="35"/>
        <v>n.a.</v>
      </c>
      <c r="P40" s="194" t="str">
        <f t="shared" si="35"/>
        <v>n.a.</v>
      </c>
      <c r="Q40" s="194">
        <f t="shared" si="35"/>
        <v>0.80638925309892273</v>
      </c>
      <c r="R40" s="194">
        <f t="shared" si="35"/>
        <v>0.81908558346647387</v>
      </c>
      <c r="S40" s="194">
        <f t="shared" si="35"/>
        <v>0.81276092288145163</v>
      </c>
      <c r="T40" s="194">
        <f t="shared" si="35"/>
        <v>0.84884655689142974</v>
      </c>
      <c r="U40" s="194">
        <f t="shared" si="35"/>
        <v>0.82466557765619541</v>
      </c>
      <c r="V40" s="194">
        <f t="shared" si="35"/>
        <v>0.78785350330013892</v>
      </c>
      <c r="W40" s="194">
        <f t="shared" si="35"/>
        <v>0.81567110376140761</v>
      </c>
      <c r="X40" s="194">
        <f t="shared" si="35"/>
        <v>0.82415247948132253</v>
      </c>
      <c r="Y40" s="194">
        <f t="shared" ref="Y40:AE40" si="36">IFERROR((Y23+Y26+Y29)/Y38,"n.a.")</f>
        <v>0.81250699083250189</v>
      </c>
      <c r="Z40" s="194">
        <f t="shared" si="36"/>
        <v>0.81826999316344262</v>
      </c>
      <c r="AA40" s="194">
        <f t="shared" si="36"/>
        <v>0.83858074220126977</v>
      </c>
      <c r="AB40" s="194">
        <f t="shared" si="36"/>
        <v>0.82522178266488022</v>
      </c>
      <c r="AC40" s="194">
        <f t="shared" si="36"/>
        <v>0.80420838615059498</v>
      </c>
      <c r="AD40" s="194">
        <f t="shared" si="36"/>
        <v>0.82014250092944785</v>
      </c>
      <c r="AE40" s="194" t="str">
        <f t="shared" si="36"/>
        <v>n.a.</v>
      </c>
      <c r="AF40" s="194" t="str">
        <f t="shared" ref="AF40:AG40" si="37">IFERROR((AF23+AF26+AF29)/AF38,"n.a.")</f>
        <v>n.a.</v>
      </c>
      <c r="AG40" s="194" t="str">
        <f t="shared" si="37"/>
        <v>n.a.</v>
      </c>
      <c r="AH40" s="194" t="str">
        <f t="shared" ref="AH40:AI40" si="38">IFERROR((AH23+AH26+AH29)/AH38,"n.a.")</f>
        <v>n.a.</v>
      </c>
      <c r="AI40" s="194" t="str">
        <f t="shared" si="38"/>
        <v>n.a.</v>
      </c>
      <c r="AJ40" s="240"/>
      <c r="AK40" s="240"/>
      <c r="AL40" s="2"/>
    </row>
    <row r="41" spans="1:39" s="30" customFormat="1" ht="13" hidden="1" outlineLevel="1" x14ac:dyDescent="0.3">
      <c r="A41" s="28" t="s">
        <v>274</v>
      </c>
      <c r="B41" s="28"/>
      <c r="C41" s="194" t="str">
        <f>IFERROR((C32+C35)/C38,"n.a.")</f>
        <v>n.a.</v>
      </c>
      <c r="D41" s="194" t="str">
        <f t="shared" ref="D41:X41" si="39">IFERROR((D32+D35)/D38,"n.a.")</f>
        <v>n.a.</v>
      </c>
      <c r="E41" s="194" t="str">
        <f t="shared" si="39"/>
        <v>n.a.</v>
      </c>
      <c r="F41" s="194" t="str">
        <f t="shared" si="39"/>
        <v>n.a.</v>
      </c>
      <c r="G41" s="194" t="str">
        <f t="shared" si="39"/>
        <v>n.a.</v>
      </c>
      <c r="H41" s="194" t="str">
        <f t="shared" si="39"/>
        <v>n.a.</v>
      </c>
      <c r="I41" s="194" t="str">
        <f t="shared" si="39"/>
        <v>n.a.</v>
      </c>
      <c r="J41" s="194" t="str">
        <f t="shared" si="39"/>
        <v>n.a.</v>
      </c>
      <c r="K41" s="194" t="str">
        <f t="shared" si="39"/>
        <v>n.a.</v>
      </c>
      <c r="L41" s="194" t="str">
        <f t="shared" si="39"/>
        <v>n.a.</v>
      </c>
      <c r="M41" s="194" t="str">
        <f t="shared" si="39"/>
        <v>n.a.</v>
      </c>
      <c r="N41" s="194" t="str">
        <f t="shared" si="39"/>
        <v>n.a.</v>
      </c>
      <c r="O41" s="194" t="str">
        <f t="shared" si="39"/>
        <v>n.a.</v>
      </c>
      <c r="P41" s="194" t="str">
        <f t="shared" si="39"/>
        <v>n.a.</v>
      </c>
      <c r="Q41" s="194">
        <f t="shared" si="39"/>
        <v>0.19361074690107716</v>
      </c>
      <c r="R41" s="194">
        <f t="shared" si="39"/>
        <v>0.18091441653352602</v>
      </c>
      <c r="S41" s="194">
        <f t="shared" si="39"/>
        <v>0.18723907711854837</v>
      </c>
      <c r="T41" s="194">
        <f t="shared" si="39"/>
        <v>0.15115344310857032</v>
      </c>
      <c r="U41" s="194">
        <f t="shared" si="39"/>
        <v>0.17533442234380461</v>
      </c>
      <c r="V41" s="194">
        <f t="shared" si="39"/>
        <v>0.21214649669986113</v>
      </c>
      <c r="W41" s="194">
        <f t="shared" si="39"/>
        <v>0.18432889623859242</v>
      </c>
      <c r="X41" s="194">
        <f t="shared" si="39"/>
        <v>0.17584752051867747</v>
      </c>
      <c r="Y41" s="194">
        <f t="shared" ref="Y41:AE41" si="40">IFERROR((Y32+Y35)/Y38,"n.a.")</f>
        <v>0.18749300916749809</v>
      </c>
      <c r="Z41" s="194">
        <f t="shared" si="40"/>
        <v>0.1817300068365573</v>
      </c>
      <c r="AA41" s="194">
        <f t="shared" si="40"/>
        <v>0.16141925779873029</v>
      </c>
      <c r="AB41" s="194">
        <f t="shared" si="40"/>
        <v>0.17477821733511975</v>
      </c>
      <c r="AC41" s="194">
        <f t="shared" si="40"/>
        <v>0.19579161384940494</v>
      </c>
      <c r="AD41" s="194">
        <f t="shared" si="40"/>
        <v>0.17985749907055221</v>
      </c>
      <c r="AE41" s="194" t="str">
        <f t="shared" si="40"/>
        <v>n.a.</v>
      </c>
      <c r="AF41" s="194" t="str">
        <f t="shared" ref="AF41:AG41" si="41">IFERROR((AF32+AF35)/AF38,"n.a.")</f>
        <v>n.a.</v>
      </c>
      <c r="AG41" s="194" t="str">
        <f t="shared" si="41"/>
        <v>n.a.</v>
      </c>
      <c r="AH41" s="194" t="str">
        <f t="shared" ref="AH41:AI41" si="42">IFERROR((AH32+AH35)/AH38,"n.a.")</f>
        <v>n.a.</v>
      </c>
      <c r="AI41" s="194" t="str">
        <f t="shared" si="42"/>
        <v>n.a.</v>
      </c>
      <c r="AJ41" s="240"/>
      <c r="AK41" s="240"/>
      <c r="AL41" s="2"/>
    </row>
    <row r="42" spans="1:39" hidden="1" outlineLevel="1" x14ac:dyDescent="0.3"/>
    <row r="43" spans="1:39" hidden="1" outlineLevel="1" x14ac:dyDescent="0.3"/>
    <row r="44" spans="1:39" ht="13.5" hidden="1" outlineLevel="1" thickBot="1" x14ac:dyDescent="0.35">
      <c r="A44" s="12" t="s">
        <v>294</v>
      </c>
      <c r="B44" s="12"/>
      <c r="C44" s="14" t="s">
        <v>164</v>
      </c>
      <c r="D44" s="14" t="s">
        <v>171</v>
      </c>
      <c r="E44" s="14" t="s">
        <v>163</v>
      </c>
      <c r="F44" s="14" t="s">
        <v>172</v>
      </c>
      <c r="G44" s="14" t="s">
        <v>121</v>
      </c>
      <c r="H44" s="14" t="s">
        <v>170</v>
      </c>
      <c r="I44" s="14" t="str">
        <f t="shared" ref="I44:AE44" si="43">I4</f>
        <v>FY 2016</v>
      </c>
      <c r="J44" s="14" t="str">
        <f t="shared" si="43"/>
        <v>1Q 2017</v>
      </c>
      <c r="K44" s="14" t="str">
        <f t="shared" si="43"/>
        <v>2Q 2017</v>
      </c>
      <c r="L44" s="14" t="str">
        <f t="shared" si="43"/>
        <v>1H 2017</v>
      </c>
      <c r="M44" s="14" t="str">
        <f t="shared" si="43"/>
        <v>3Q 2017</v>
      </c>
      <c r="N44" s="14" t="str">
        <f t="shared" si="43"/>
        <v>9M 2017</v>
      </c>
      <c r="O44" s="14" t="str">
        <f t="shared" si="43"/>
        <v>4Q 2017</v>
      </c>
      <c r="P44" s="14" t="str">
        <f t="shared" si="43"/>
        <v>FY 2017</v>
      </c>
      <c r="Q44" s="14" t="str">
        <f t="shared" si="43"/>
        <v>1Q 2018</v>
      </c>
      <c r="R44" s="176" t="str">
        <f t="shared" si="43"/>
        <v>2Q 2018</v>
      </c>
      <c r="S44" s="176" t="str">
        <f t="shared" si="43"/>
        <v>1H 2018</v>
      </c>
      <c r="T44" s="14" t="str">
        <f t="shared" si="43"/>
        <v>3Q 2018</v>
      </c>
      <c r="U44" s="14" t="str">
        <f t="shared" si="43"/>
        <v>9M 2018</v>
      </c>
      <c r="V44" s="14" t="str">
        <f t="shared" si="43"/>
        <v>4Q 2018</v>
      </c>
      <c r="W44" s="14" t="str">
        <f t="shared" si="43"/>
        <v>FY 2018</v>
      </c>
      <c r="X44" s="14" t="str">
        <f t="shared" si="43"/>
        <v>1Q 2019</v>
      </c>
      <c r="Y44" s="176" t="str">
        <f t="shared" si="43"/>
        <v>2Q 2019</v>
      </c>
      <c r="Z44" s="176" t="str">
        <f t="shared" si="43"/>
        <v>1H 2019</v>
      </c>
      <c r="AA44" s="14" t="str">
        <f t="shared" si="43"/>
        <v>3Q 2019</v>
      </c>
      <c r="AB44" s="14" t="str">
        <f t="shared" si="43"/>
        <v>9M 2019</v>
      </c>
      <c r="AC44" s="14" t="str">
        <f t="shared" si="43"/>
        <v>4Q 2019</v>
      </c>
      <c r="AD44" s="14" t="str">
        <f t="shared" si="43"/>
        <v>FY 2019</v>
      </c>
      <c r="AE44" s="14" t="str">
        <f t="shared" si="43"/>
        <v>1Q 2020</v>
      </c>
      <c r="AF44" s="176" t="str">
        <f t="shared" ref="AF44:AG44" si="44">AF4</f>
        <v>2Q 2020</v>
      </c>
      <c r="AG44" s="176" t="str">
        <f t="shared" si="44"/>
        <v>1H 2020</v>
      </c>
      <c r="AH44" s="176" t="str">
        <f t="shared" ref="AH44:AI44" si="45">AH4</f>
        <v>3Q 2020</v>
      </c>
      <c r="AI44" s="176" t="str">
        <f t="shared" si="45"/>
        <v>9M 2020</v>
      </c>
      <c r="AJ44" s="239"/>
      <c r="AK44" s="239"/>
    </row>
    <row r="45" spans="1:39" hidden="1" outlineLevel="1" x14ac:dyDescent="0.3">
      <c r="C45" s="41" t="s">
        <v>191</v>
      </c>
      <c r="D45" s="41" t="s">
        <v>191</v>
      </c>
      <c r="E45" s="41" t="s">
        <v>191</v>
      </c>
      <c r="F45" s="41" t="s">
        <v>191</v>
      </c>
      <c r="G45" s="41" t="s">
        <v>191</v>
      </c>
      <c r="H45" s="41" t="s">
        <v>191</v>
      </c>
      <c r="I45" s="41" t="str">
        <f>I5</f>
        <v>restated</v>
      </c>
      <c r="J45" s="41" t="str">
        <f>J5</f>
        <v>reported</v>
      </c>
      <c r="K45" s="177" t="s">
        <v>255</v>
      </c>
      <c r="L45" s="41" t="str">
        <f>L5</f>
        <v>reported</v>
      </c>
      <c r="M45" s="177" t="s">
        <v>256</v>
      </c>
      <c r="N45" s="41" t="str">
        <f t="shared" ref="N45:AE45" si="46">N5</f>
        <v>reported</v>
      </c>
      <c r="O45" s="41" t="str">
        <f t="shared" si="46"/>
        <v>reported</v>
      </c>
      <c r="P45" s="41" t="str">
        <f t="shared" si="46"/>
        <v>reported</v>
      </c>
      <c r="Q45" s="41" t="str">
        <f t="shared" si="46"/>
        <v>reported</v>
      </c>
      <c r="R45" s="41" t="str">
        <f t="shared" si="46"/>
        <v>reported</v>
      </c>
      <c r="S45" s="41" t="str">
        <f t="shared" si="46"/>
        <v>reported</v>
      </c>
      <c r="T45" s="41" t="str">
        <f t="shared" si="46"/>
        <v>reported</v>
      </c>
      <c r="U45" s="41" t="str">
        <f t="shared" si="46"/>
        <v>reported</v>
      </c>
      <c r="V45" s="41" t="str">
        <f t="shared" si="46"/>
        <v>reported</v>
      </c>
      <c r="W45" s="41" t="str">
        <f t="shared" si="46"/>
        <v>reported</v>
      </c>
      <c r="X45" s="41" t="str">
        <f t="shared" si="46"/>
        <v>reported</v>
      </c>
      <c r="Y45" s="41" t="str">
        <f t="shared" si="46"/>
        <v>reported</v>
      </c>
      <c r="Z45" s="41" t="str">
        <f t="shared" si="46"/>
        <v>reported</v>
      </c>
      <c r="AA45" s="41" t="str">
        <f t="shared" si="46"/>
        <v>reported</v>
      </c>
      <c r="AB45" s="41" t="str">
        <f t="shared" si="46"/>
        <v>reported</v>
      </c>
      <c r="AC45" s="41" t="str">
        <f t="shared" si="46"/>
        <v>reported</v>
      </c>
      <c r="AD45" s="41" t="str">
        <f t="shared" si="46"/>
        <v>reported</v>
      </c>
      <c r="AE45" s="41" t="str">
        <f t="shared" si="46"/>
        <v>reported</v>
      </c>
      <c r="AF45" s="41" t="str">
        <f t="shared" ref="AF45:AG45" si="47">AF5</f>
        <v>reported</v>
      </c>
      <c r="AG45" s="41" t="str">
        <f t="shared" si="47"/>
        <v>reported</v>
      </c>
      <c r="AH45" s="41" t="str">
        <f t="shared" ref="AH45:AI45" si="48">AH5</f>
        <v>reported</v>
      </c>
      <c r="AI45" s="41" t="str">
        <f t="shared" si="48"/>
        <v>reported</v>
      </c>
      <c r="AJ45" s="41"/>
      <c r="AK45" s="41"/>
    </row>
    <row r="46" spans="1:39" hidden="1" outlineLevel="1" x14ac:dyDescent="0.3"/>
    <row r="47" spans="1:39" hidden="1" outlineLevel="1" x14ac:dyDescent="0.3">
      <c r="A47" s="15" t="s">
        <v>36</v>
      </c>
      <c r="B47" s="26"/>
      <c r="C47" s="160">
        <v>528.71400000000006</v>
      </c>
      <c r="D47" s="40">
        <f>IFERROR(E47-C47,"n.a.")</f>
        <v>537.25599999999997</v>
      </c>
      <c r="E47" s="27">
        <v>1065.97</v>
      </c>
      <c r="F47" s="40">
        <f>IFERROR(G47-E47,"n.a.")</f>
        <v>525.32999999999993</v>
      </c>
      <c r="G47" s="27">
        <v>1591.3</v>
      </c>
      <c r="H47" s="40">
        <f>IFERROR(I47-G47,"n.a.")</f>
        <v>501.40100000000007</v>
      </c>
      <c r="I47" s="34">
        <f>'Adj. Rev. detail - FY'!F47</f>
        <v>2092.701</v>
      </c>
      <c r="J47" s="90">
        <v>569.976</v>
      </c>
      <c r="K47" s="81">
        <f>IFERROR(L47-J47,"n.a.")</f>
        <v>559.57399999999996</v>
      </c>
      <c r="L47" s="45">
        <v>1129.55</v>
      </c>
      <c r="M47" s="81">
        <f>IFERROR(N47-L47,"n.a.")</f>
        <v>568.50700000000006</v>
      </c>
      <c r="N47" s="45">
        <v>1698.057</v>
      </c>
      <c r="O47" s="81">
        <f>IFERROR(P47-N47,"n.a.")</f>
        <v>539.90499999999997</v>
      </c>
      <c r="P47" s="56">
        <f>'Adj. Rev. detail - FY'!G47</f>
        <v>2237.962</v>
      </c>
      <c r="Q47" s="90">
        <v>577.47900000000004</v>
      </c>
      <c r="R47" s="81">
        <f>IFERROR(S47-Q47,"n.a.")</f>
        <v>577.89200000000005</v>
      </c>
      <c r="S47" s="45">
        <v>1155.3710000000001</v>
      </c>
      <c r="T47" s="81">
        <f>IFERROR(U47-S47,"n.a.")</f>
        <v>559.19899999999984</v>
      </c>
      <c r="U47" s="45">
        <v>1714.57</v>
      </c>
      <c r="V47" s="81">
        <f>IFERROR(W47-U47,"n.a.")</f>
        <v>519.59600000000023</v>
      </c>
      <c r="W47" s="56">
        <f>'Adj. Rev. detail - FY'!H47</f>
        <v>2234.1660000000002</v>
      </c>
      <c r="X47" s="90" t="s">
        <v>230</v>
      </c>
      <c r="Y47" s="81" t="str">
        <f>IFERROR(Z47-X47,"n.a.")</f>
        <v>n.a.</v>
      </c>
      <c r="Z47" s="45" t="s">
        <v>230</v>
      </c>
      <c r="AA47" s="81" t="str">
        <f>IFERROR(AB47-Z47,"n.a.")</f>
        <v>n.a.</v>
      </c>
      <c r="AB47" s="45" t="s">
        <v>230</v>
      </c>
      <c r="AC47" s="81" t="str">
        <f>IFERROR(AD47-AB47,"n.a.")</f>
        <v>n.a.</v>
      </c>
      <c r="AD47" s="56" t="str">
        <f>'Adj. Rev. detail - FY'!I47</f>
        <v>n.a.</v>
      </c>
      <c r="AE47" s="90" t="s">
        <v>230</v>
      </c>
      <c r="AF47" s="81" t="str">
        <f>IFERROR(AG47-AE47,"n.a.")</f>
        <v>n.a.</v>
      </c>
      <c r="AG47" s="45" t="s">
        <v>230</v>
      </c>
      <c r="AH47" s="81" t="str">
        <f>IFERROR(AI47-AG47,"n.a.")</f>
        <v>n.a.</v>
      </c>
      <c r="AI47" s="45" t="s">
        <v>230</v>
      </c>
      <c r="AJ47" s="237"/>
      <c r="AK47" s="237"/>
      <c r="AM47" s="182"/>
    </row>
    <row r="48" spans="1:39" s="30" customFormat="1" ht="13" hidden="1" outlineLevel="1" x14ac:dyDescent="0.3">
      <c r="A48" s="28" t="s">
        <v>82</v>
      </c>
      <c r="B48" s="28"/>
      <c r="C48" s="29">
        <f t="shared" ref="C48:P48" si="49">IFERROR(C47/C65,"")</f>
        <v>0.44774056632135023</v>
      </c>
      <c r="D48" s="29">
        <f t="shared" si="49"/>
        <v>0.4311738632505932</v>
      </c>
      <c r="E48" s="29">
        <f t="shared" si="49"/>
        <v>0.4392347376054852</v>
      </c>
      <c r="F48" s="29">
        <f t="shared" si="49"/>
        <v>0.41054524453516783</v>
      </c>
      <c r="G48" s="29">
        <f t="shared" si="49"/>
        <v>0.429330217341509</v>
      </c>
      <c r="H48" s="29">
        <f t="shared" si="49"/>
        <v>0.39482725357796727</v>
      </c>
      <c r="I48" s="29">
        <f t="shared" si="49"/>
        <v>0.42052541638567353</v>
      </c>
      <c r="J48" s="194">
        <f t="shared" si="49"/>
        <v>0.42559215802230194</v>
      </c>
      <c r="K48" s="194">
        <f t="shared" si="49"/>
        <v>0.41570295024630571</v>
      </c>
      <c r="L48" s="194">
        <f t="shared" si="49"/>
        <v>0.42063496496725733</v>
      </c>
      <c r="M48" s="194">
        <f t="shared" si="49"/>
        <v>0.42013597901193506</v>
      </c>
      <c r="N48" s="194">
        <f t="shared" si="49"/>
        <v>0.42046777326702145</v>
      </c>
      <c r="O48" s="194">
        <f t="shared" si="49"/>
        <v>0.41095509830024946</v>
      </c>
      <c r="P48" s="194">
        <f t="shared" si="49"/>
        <v>0.41813277192730719</v>
      </c>
      <c r="Q48" s="194">
        <f>IFERROR(Q47/Q65,"")</f>
        <v>0.44073484427565751</v>
      </c>
      <c r="R48" s="194">
        <f>IFERROR(R47/R65,"")</f>
        <v>0.43778834659317328</v>
      </c>
      <c r="S48" s="194">
        <f>IFERROR(S47/S65,"")</f>
        <v>0.43925612765132371</v>
      </c>
      <c r="T48" s="194">
        <f>IFERROR(T47/T65,"")</f>
        <v>0.43184924789210538</v>
      </c>
      <c r="U48" s="194">
        <f>IFERROR(U47/U65,"")</f>
        <v>0.43681264368753153</v>
      </c>
      <c r="V48" s="194">
        <f t="shared" ref="V48" si="50">IFERROR(V47/V65,"")</f>
        <v>0.40936278835245188</v>
      </c>
      <c r="W48" s="194">
        <f t="shared" ref="W48" si="51">IFERROR(W47/W65,"")</f>
        <v>0.43010520430981902</v>
      </c>
      <c r="X48" s="194" t="str">
        <f>IFERROR(X47/X65,"")</f>
        <v/>
      </c>
      <c r="Y48" s="194" t="str">
        <f>IFERROR(Y47/Y65,"")</f>
        <v/>
      </c>
      <c r="Z48" s="194" t="str">
        <f>IFERROR(Z47/Z65,"")</f>
        <v/>
      </c>
      <c r="AA48" s="194" t="str">
        <f>IFERROR(AA47/AA65,"")</f>
        <v/>
      </c>
      <c r="AB48" s="194" t="str">
        <f>IFERROR(AB47/AB65,"")</f>
        <v/>
      </c>
      <c r="AC48" s="194" t="str">
        <f t="shared" ref="AC48:AD48" si="52">IFERROR(AC47/AC65,"")</f>
        <v/>
      </c>
      <c r="AD48" s="194" t="str">
        <f t="shared" si="52"/>
        <v/>
      </c>
      <c r="AE48" s="194" t="str">
        <f>IFERROR(AE47/AE65,"")</f>
        <v/>
      </c>
      <c r="AF48" s="194" t="str">
        <f>IFERROR(AF47/AF65,"")</f>
        <v/>
      </c>
      <c r="AG48" s="194" t="str">
        <f>IFERROR(AG47/AG65,"")</f>
        <v/>
      </c>
      <c r="AH48" s="194" t="str">
        <f>IFERROR(AH47/AH65,"")</f>
        <v/>
      </c>
      <c r="AI48" s="194" t="str">
        <f>IFERROR(AI47/AI65,"")</f>
        <v/>
      </c>
      <c r="AJ48" s="240"/>
      <c r="AK48" s="240"/>
    </row>
    <row r="49" spans="1:39" hidden="1" outlineLevel="1" x14ac:dyDescent="0.3">
      <c r="C49" s="31"/>
      <c r="D49" s="31"/>
      <c r="E49" s="31"/>
      <c r="F49" s="31"/>
      <c r="G49" s="31"/>
      <c r="H49" s="31"/>
      <c r="I49" s="31"/>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row>
    <row r="50" spans="1:39" hidden="1" outlineLevel="1" x14ac:dyDescent="0.3">
      <c r="A50" s="15" t="s">
        <v>37</v>
      </c>
      <c r="B50" s="15"/>
      <c r="C50" s="27">
        <v>215.422</v>
      </c>
      <c r="D50" s="40">
        <f>IFERROR(E50-C50,"n.a.")</f>
        <v>232.691</v>
      </c>
      <c r="E50" s="27">
        <v>448.113</v>
      </c>
      <c r="F50" s="40">
        <f>IFERROR(G50-E50,"n.a.")</f>
        <v>244.92299999999994</v>
      </c>
      <c r="G50" s="27">
        <v>693.03599999999994</v>
      </c>
      <c r="H50" s="40">
        <f>IFERROR(I50-G50,"n.a.")</f>
        <v>241.52300000000002</v>
      </c>
      <c r="I50" s="34">
        <f>'Adj. Rev. detail - FY'!F50</f>
        <v>934.55899999999997</v>
      </c>
      <c r="J50" s="45">
        <v>250.874</v>
      </c>
      <c r="K50" s="81">
        <f>IFERROR(L50-J50,"n.a.")</f>
        <v>250.65</v>
      </c>
      <c r="L50" s="45">
        <v>501.524</v>
      </c>
      <c r="M50" s="81">
        <f>IFERROR(N50-L50,"n.a.")</f>
        <v>254.81299999999999</v>
      </c>
      <c r="N50" s="45">
        <v>756.33699999999999</v>
      </c>
      <c r="O50" s="81">
        <f>IFERROR(P50-N50,"n.a.")</f>
        <v>227.52200000000005</v>
      </c>
      <c r="P50" s="56">
        <f>'Adj. Rev. detail - FY'!G50</f>
        <v>983.85900000000004</v>
      </c>
      <c r="Q50" s="45">
        <v>243.48599999999999</v>
      </c>
      <c r="R50" s="81">
        <f>IFERROR(S50-Q50,"n.a.")</f>
        <v>243.48500000000001</v>
      </c>
      <c r="S50" s="45">
        <v>486.971</v>
      </c>
      <c r="T50" s="81">
        <f>IFERROR(U50-S50,"n.a.")</f>
        <v>266.024</v>
      </c>
      <c r="U50" s="45">
        <v>752.995</v>
      </c>
      <c r="V50" s="81">
        <f>IFERROR(W50-U50,"n.a.")</f>
        <v>251.03099999999995</v>
      </c>
      <c r="W50" s="56">
        <f>'Adj. Rev. detail - FY'!H50</f>
        <v>1004.026</v>
      </c>
      <c r="X50" s="45" t="s">
        <v>230</v>
      </c>
      <c r="Y50" s="81" t="str">
        <f>IFERROR(Z50-X50,"n.a.")</f>
        <v>n.a.</v>
      </c>
      <c r="Z50" s="45" t="s">
        <v>230</v>
      </c>
      <c r="AA50" s="81" t="str">
        <f>IFERROR(AB50-Z50,"n.a.")</f>
        <v>n.a.</v>
      </c>
      <c r="AB50" s="45" t="s">
        <v>230</v>
      </c>
      <c r="AC50" s="81" t="str">
        <f>IFERROR(AD50-AB50,"n.a.")</f>
        <v>n.a.</v>
      </c>
      <c r="AD50" s="56" t="str">
        <f>'Adj. Rev. detail - FY'!I50</f>
        <v>n.a.</v>
      </c>
      <c r="AE50" s="45" t="s">
        <v>230</v>
      </c>
      <c r="AF50" s="81" t="str">
        <f>IFERROR(AG50-AE50,"n.a.")</f>
        <v>n.a.</v>
      </c>
      <c r="AG50" s="45" t="s">
        <v>230</v>
      </c>
      <c r="AH50" s="81" t="str">
        <f>IFERROR(AI50-AG50,"n.a.")</f>
        <v>n.a.</v>
      </c>
      <c r="AI50" s="45" t="s">
        <v>230</v>
      </c>
      <c r="AJ50" s="237"/>
      <c r="AK50" s="237"/>
      <c r="AM50" s="182"/>
    </row>
    <row r="51" spans="1:39" s="30" customFormat="1" ht="13" hidden="1" outlineLevel="1" x14ac:dyDescent="0.3">
      <c r="A51" s="28" t="s">
        <v>83</v>
      </c>
      <c r="B51" s="28"/>
      <c r="C51" s="29">
        <f t="shared" ref="C51:P51" si="53">IFERROR(C50/C65,"")</f>
        <v>0.1824297602826441</v>
      </c>
      <c r="D51" s="29">
        <f t="shared" si="53"/>
        <v>0.18674575512166228</v>
      </c>
      <c r="E51" s="29">
        <f t="shared" si="53"/>
        <v>0.18464571795886076</v>
      </c>
      <c r="F51" s="29">
        <f t="shared" si="53"/>
        <v>0.19140725434924125</v>
      </c>
      <c r="G51" s="29">
        <f t="shared" si="53"/>
        <v>0.18698001414283291</v>
      </c>
      <c r="H51" s="29">
        <f t="shared" si="53"/>
        <v>0.19018682205642068</v>
      </c>
      <c r="I51" s="29">
        <f t="shared" si="53"/>
        <v>0.18779835849076321</v>
      </c>
      <c r="J51" s="194">
        <f t="shared" si="53"/>
        <v>0.18732368915829259</v>
      </c>
      <c r="K51" s="194">
        <f t="shared" si="53"/>
        <v>0.18620583600960111</v>
      </c>
      <c r="L51" s="194">
        <f t="shared" si="53"/>
        <v>0.18676333953365393</v>
      </c>
      <c r="M51" s="194">
        <f t="shared" si="53"/>
        <v>0.1883109780881646</v>
      </c>
      <c r="N51" s="194">
        <f t="shared" si="53"/>
        <v>0.18728189585476765</v>
      </c>
      <c r="O51" s="194">
        <f t="shared" si="53"/>
        <v>0.17318107051327433</v>
      </c>
      <c r="P51" s="194">
        <f t="shared" si="53"/>
        <v>0.18382067740901256</v>
      </c>
      <c r="Q51" s="194">
        <f>IFERROR(Q50/Q65,"")</f>
        <v>0.18582972591783031</v>
      </c>
      <c r="R51" s="194">
        <f>IFERROR(R50/R65,"")</f>
        <v>0.18445470013469434</v>
      </c>
      <c r="S51" s="194">
        <f>IFERROR(S50/S65,"")</f>
        <v>0.18513966140615676</v>
      </c>
      <c r="T51" s="194">
        <f>IFERROR(T50/T65,"")</f>
        <v>0.2054407542238979</v>
      </c>
      <c r="U51" s="194">
        <f>IFERROR(U50/U65,"")</f>
        <v>0.19183686675580047</v>
      </c>
      <c r="V51" s="194">
        <f t="shared" ref="V51" si="54">IFERROR(V50/V65,"")</f>
        <v>0.19777432875330889</v>
      </c>
      <c r="W51" s="194">
        <f t="shared" ref="W51" si="55">IFERROR(W50/W65,"")</f>
        <v>0.19328770013614491</v>
      </c>
      <c r="X51" s="194" t="str">
        <f>IFERROR(X50/X65,"")</f>
        <v/>
      </c>
      <c r="Y51" s="194" t="str">
        <f>IFERROR(Y50/Y65,"")</f>
        <v/>
      </c>
      <c r="Z51" s="194" t="str">
        <f>IFERROR(Z50/Z65,"")</f>
        <v/>
      </c>
      <c r="AA51" s="194" t="str">
        <f>IFERROR(AA50/AA65,"")</f>
        <v/>
      </c>
      <c r="AB51" s="194" t="str">
        <f>IFERROR(AB50/AB65,"")</f>
        <v/>
      </c>
      <c r="AC51" s="194" t="str">
        <f t="shared" ref="AC51:AD51" si="56">IFERROR(AC50/AC65,"")</f>
        <v/>
      </c>
      <c r="AD51" s="194" t="str">
        <f t="shared" si="56"/>
        <v/>
      </c>
      <c r="AE51" s="194" t="str">
        <f>IFERROR(AE50/AE65,"")</f>
        <v/>
      </c>
      <c r="AF51" s="194" t="str">
        <f>IFERROR(AF50/AF65,"")</f>
        <v/>
      </c>
      <c r="AG51" s="194" t="str">
        <f>IFERROR(AG50/AG65,"")</f>
        <v/>
      </c>
      <c r="AH51" s="194" t="str">
        <f>IFERROR(AH50/AH65,"")</f>
        <v/>
      </c>
      <c r="AI51" s="194" t="str">
        <f>IFERROR(AI50/AI65,"")</f>
        <v/>
      </c>
      <c r="AJ51" s="240"/>
      <c r="AK51" s="240"/>
      <c r="AL51" s="2"/>
    </row>
    <row r="52" spans="1:39" hidden="1" outlineLevel="1" x14ac:dyDescent="0.3">
      <c r="C52" s="31"/>
      <c r="D52" s="31"/>
      <c r="E52" s="31"/>
      <c r="F52" s="31"/>
      <c r="G52" s="31"/>
      <c r="H52" s="31"/>
      <c r="I52" s="31"/>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row>
    <row r="53" spans="1:39" hidden="1" outlineLevel="1" x14ac:dyDescent="0.3">
      <c r="A53" s="15" t="s">
        <v>39</v>
      </c>
      <c r="B53" s="15"/>
      <c r="C53" s="27">
        <v>147.25399999999999</v>
      </c>
      <c r="D53" s="40">
        <f>IFERROR(E53-C53,"n.a.")</f>
        <v>173.56899999999999</v>
      </c>
      <c r="E53" s="27">
        <v>320.82299999999998</v>
      </c>
      <c r="F53" s="40">
        <f>IFERROR(G53-E53,"n.a.")</f>
        <v>185.387</v>
      </c>
      <c r="G53" s="27">
        <v>506.21</v>
      </c>
      <c r="H53" s="40">
        <f>IFERROR(I53-G53,"n.a.")</f>
        <v>206.35300000000001</v>
      </c>
      <c r="I53" s="34">
        <f>'Adj. Rev. detail - FY'!F53</f>
        <v>712.56299999999999</v>
      </c>
      <c r="J53" s="45">
        <v>186.476</v>
      </c>
      <c r="K53" s="81">
        <f>IFERROR(L53-J53,"n.a.")</f>
        <v>203.51400000000001</v>
      </c>
      <c r="L53" s="45">
        <v>389.99</v>
      </c>
      <c r="M53" s="81">
        <f>IFERROR(N53-L53,"n.a.")</f>
        <v>207.04399999999998</v>
      </c>
      <c r="N53" s="45">
        <v>597.03399999999999</v>
      </c>
      <c r="O53" s="81">
        <f>IFERROR(P53-N53,"n.a.")</f>
        <v>209.20600000000002</v>
      </c>
      <c r="P53" s="56">
        <f>'Adj. Rev. detail - FY'!G53</f>
        <v>806.24</v>
      </c>
      <c r="Q53" s="45">
        <v>197.26400000000001</v>
      </c>
      <c r="R53" s="81">
        <f>IFERROR(S53-Q53,"n.a.")</f>
        <v>234.166</v>
      </c>
      <c r="S53" s="45">
        <v>431.43</v>
      </c>
      <c r="T53" s="81">
        <f>IFERROR(U53-S53,"n.a.")</f>
        <v>240.88100000000003</v>
      </c>
      <c r="U53" s="45">
        <v>672.31100000000004</v>
      </c>
      <c r="V53" s="81">
        <f>IFERROR(W53-U53,"n.a.")</f>
        <v>217.93599999999992</v>
      </c>
      <c r="W53" s="56">
        <f>'Adj. Rev. detail - FY'!H53</f>
        <v>890.24699999999996</v>
      </c>
      <c r="X53" s="45" t="s">
        <v>230</v>
      </c>
      <c r="Y53" s="81" t="str">
        <f>IFERROR(Z53-X53,"n.a.")</f>
        <v>n.a.</v>
      </c>
      <c r="Z53" s="45" t="s">
        <v>230</v>
      </c>
      <c r="AA53" s="81" t="str">
        <f>IFERROR(AB53-Z53,"n.a.")</f>
        <v>n.a.</v>
      </c>
      <c r="AB53" s="45" t="s">
        <v>230</v>
      </c>
      <c r="AC53" s="81" t="str">
        <f>IFERROR(AD53-AB53,"n.a.")</f>
        <v>n.a.</v>
      </c>
      <c r="AD53" s="56" t="str">
        <f>'Adj. Rev. detail - FY'!I53</f>
        <v>n.a.</v>
      </c>
      <c r="AE53" s="45" t="s">
        <v>230</v>
      </c>
      <c r="AF53" s="81" t="str">
        <f>IFERROR(AG53-AE53,"n.a.")</f>
        <v>n.a.</v>
      </c>
      <c r="AG53" s="45" t="s">
        <v>230</v>
      </c>
      <c r="AH53" s="81" t="str">
        <f>IFERROR(AI53-AG53,"n.a.")</f>
        <v>n.a.</v>
      </c>
      <c r="AI53" s="45" t="s">
        <v>230</v>
      </c>
      <c r="AJ53" s="237"/>
      <c r="AK53" s="237"/>
      <c r="AM53" s="182"/>
    </row>
    <row r="54" spans="1:39" s="30" customFormat="1" ht="13" hidden="1" outlineLevel="1" x14ac:dyDescent="0.3">
      <c r="A54" s="28" t="s">
        <v>173</v>
      </c>
      <c r="B54" s="28"/>
      <c r="C54" s="29">
        <f t="shared" ref="C54:P54" si="57">IFERROR(C53/C65,"")</f>
        <v>0.12470180353288185</v>
      </c>
      <c r="D54" s="29">
        <f t="shared" si="57"/>
        <v>0.13929749741378822</v>
      </c>
      <c r="E54" s="29">
        <f t="shared" si="57"/>
        <v>0.1321956586234177</v>
      </c>
      <c r="F54" s="29">
        <f t="shared" si="57"/>
        <v>0.14487988740152127</v>
      </c>
      <c r="G54" s="29">
        <f t="shared" si="57"/>
        <v>0.13657465551463913</v>
      </c>
      <c r="H54" s="29">
        <f t="shared" si="57"/>
        <v>0.16249227316573814</v>
      </c>
      <c r="I54" s="29">
        <f t="shared" si="57"/>
        <v>0.14318856457564874</v>
      </c>
      <c r="J54" s="194">
        <f t="shared" si="57"/>
        <v>0.13923871050599809</v>
      </c>
      <c r="K54" s="194">
        <f t="shared" si="57"/>
        <v>0.15118888693260707</v>
      </c>
      <c r="L54" s="194">
        <f t="shared" si="57"/>
        <v>0.14522901154227852</v>
      </c>
      <c r="M54" s="194">
        <f t="shared" si="57"/>
        <v>0.15300890514724896</v>
      </c>
      <c r="N54" s="194">
        <f t="shared" si="57"/>
        <v>0.14783576555127587</v>
      </c>
      <c r="O54" s="194">
        <f t="shared" si="57"/>
        <v>0.159239629740421</v>
      </c>
      <c r="P54" s="194">
        <f t="shared" si="57"/>
        <v>0.15063498220196417</v>
      </c>
      <c r="Q54" s="194">
        <f>IFERROR(Q53/Q65,"")</f>
        <v>0.15055286568203052</v>
      </c>
      <c r="R54" s="194">
        <f>IFERROR(R53/R65,"")</f>
        <v>0.17739499070472856</v>
      </c>
      <c r="S54" s="194">
        <f>IFERROR(S53/S65,"")</f>
        <v>0.16402373882727764</v>
      </c>
      <c r="T54" s="194">
        <f>IFERROR(T53/T65,"")</f>
        <v>0.18602372086054925</v>
      </c>
      <c r="U54" s="194">
        <f>IFERROR(U53/U65,"")</f>
        <v>0.17128139725424338</v>
      </c>
      <c r="V54" s="194">
        <f t="shared" ref="V54" si="58">IFERROR(V53/V65,"")</f>
        <v>0.17170049161729475</v>
      </c>
      <c r="W54" s="194">
        <f t="shared" ref="W54" si="59">IFERROR(W53/W65,"")</f>
        <v>0.1713838039882459</v>
      </c>
      <c r="X54" s="194" t="str">
        <f>IFERROR(X53/X65,"")</f>
        <v/>
      </c>
      <c r="Y54" s="194" t="str">
        <f>IFERROR(Y53/Y65,"")</f>
        <v/>
      </c>
      <c r="Z54" s="194" t="str">
        <f>IFERROR(Z53/Z65,"")</f>
        <v/>
      </c>
      <c r="AA54" s="194" t="str">
        <f>IFERROR(AA53/AA65,"")</f>
        <v/>
      </c>
      <c r="AB54" s="194" t="str">
        <f>IFERROR(AB53/AB65,"")</f>
        <v/>
      </c>
      <c r="AC54" s="194" t="str">
        <f t="shared" ref="AC54:AD54" si="60">IFERROR(AC53/AC65,"")</f>
        <v/>
      </c>
      <c r="AD54" s="194" t="str">
        <f t="shared" si="60"/>
        <v/>
      </c>
      <c r="AE54" s="194" t="str">
        <f>IFERROR(AE53/AE65,"")</f>
        <v/>
      </c>
      <c r="AF54" s="194" t="str">
        <f>IFERROR(AF53/AF65,"")</f>
        <v/>
      </c>
      <c r="AG54" s="194" t="str">
        <f>IFERROR(AG53/AG65,"")</f>
        <v/>
      </c>
      <c r="AH54" s="194" t="str">
        <f>IFERROR(AH53/AH65,"")</f>
        <v/>
      </c>
      <c r="AI54" s="194" t="str">
        <f>IFERROR(AI53/AI65,"")</f>
        <v/>
      </c>
      <c r="AJ54" s="240"/>
      <c r="AK54" s="240"/>
      <c r="AL54" s="2"/>
    </row>
    <row r="55" spans="1:39" hidden="1" outlineLevel="1" x14ac:dyDescent="0.3">
      <c r="C55" s="31"/>
      <c r="D55" s="31"/>
      <c r="E55" s="31"/>
      <c r="F55" s="31"/>
      <c r="G55" s="31"/>
      <c r="H55" s="31"/>
      <c r="I55" s="31"/>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row>
    <row r="56" spans="1:39" hidden="1" outlineLevel="1" x14ac:dyDescent="0.3">
      <c r="A56" s="15" t="s">
        <v>38</v>
      </c>
      <c r="B56" s="15"/>
      <c r="C56" s="27">
        <v>191.38200000000001</v>
      </c>
      <c r="D56" s="40">
        <f t="shared" ref="D56" si="61">IFERROR(E56-C56,"n.a.")</f>
        <v>200.41300000000001</v>
      </c>
      <c r="E56" s="27">
        <v>391.79500000000002</v>
      </c>
      <c r="F56" s="40">
        <f>IFERROR(G56-E56,"n.a.")</f>
        <v>219.88600000000002</v>
      </c>
      <c r="G56" s="27">
        <v>611.68100000000004</v>
      </c>
      <c r="H56" s="40">
        <f>IFERROR(I56-G56,"n.a.")</f>
        <v>212.57099999999991</v>
      </c>
      <c r="I56" s="34">
        <f>'Adj. Rev. detail - FY'!F56</f>
        <v>824.25199999999995</v>
      </c>
      <c r="J56" s="45">
        <v>227.291</v>
      </c>
      <c r="K56" s="81">
        <f>IFERROR(L56-J56,"n.a.")</f>
        <v>228.745</v>
      </c>
      <c r="L56" s="45">
        <v>456.036</v>
      </c>
      <c r="M56" s="81">
        <f>IFERROR(N56-L56,"n.a.")</f>
        <v>225.95200000000006</v>
      </c>
      <c r="N56" s="45">
        <v>681.98800000000006</v>
      </c>
      <c r="O56" s="81">
        <f>IFERROR(P56-N56,"n.a.")</f>
        <v>233.68899999999996</v>
      </c>
      <c r="P56" s="56">
        <f>'Adj. Rev. detail - FY'!G56</f>
        <v>915.67700000000002</v>
      </c>
      <c r="Q56" s="45">
        <v>189.297</v>
      </c>
      <c r="R56" s="81">
        <f>IFERROR(S56-Q56,"n.a.")</f>
        <v>165.631</v>
      </c>
      <c r="S56" s="45">
        <v>354.928</v>
      </c>
      <c r="T56" s="81">
        <f>IFERROR(U56-S56,"n.a.")</f>
        <v>144.45600000000002</v>
      </c>
      <c r="U56" s="45">
        <v>499.38400000000001</v>
      </c>
      <c r="V56" s="81">
        <f>IFERROR(W56-U56,"n.a.")</f>
        <v>192.49</v>
      </c>
      <c r="W56" s="56">
        <f>'Adj. Rev. detail - FY'!H56</f>
        <v>691.87400000000002</v>
      </c>
      <c r="X56" s="45" t="s">
        <v>230</v>
      </c>
      <c r="Y56" s="81" t="str">
        <f>IFERROR(Z56-X56,"n.a.")</f>
        <v>n.a.</v>
      </c>
      <c r="Z56" s="45" t="s">
        <v>230</v>
      </c>
      <c r="AA56" s="81" t="str">
        <f>IFERROR(AB56-Z56,"n.a.")</f>
        <v>n.a.</v>
      </c>
      <c r="AB56" s="45" t="s">
        <v>230</v>
      </c>
      <c r="AC56" s="81" t="str">
        <f>IFERROR(AD56-AB56,"n.a.")</f>
        <v>n.a.</v>
      </c>
      <c r="AD56" s="56" t="str">
        <f>'Adj. Rev. detail - FY'!I56</f>
        <v>n.a.</v>
      </c>
      <c r="AE56" s="45" t="s">
        <v>230</v>
      </c>
      <c r="AF56" s="81" t="str">
        <f>IFERROR(AG56-AE56,"n.a.")</f>
        <v>n.a.</v>
      </c>
      <c r="AG56" s="45" t="s">
        <v>230</v>
      </c>
      <c r="AH56" s="81" t="str">
        <f>IFERROR(AI56-AG56,"n.a.")</f>
        <v>n.a.</v>
      </c>
      <c r="AI56" s="45" t="s">
        <v>230</v>
      </c>
      <c r="AJ56" s="237"/>
      <c r="AK56" s="237"/>
      <c r="AM56" s="182"/>
    </row>
    <row r="57" spans="1:39" s="30" customFormat="1" ht="13" hidden="1" outlineLevel="1" x14ac:dyDescent="0.3">
      <c r="A57" s="28" t="s">
        <v>84</v>
      </c>
      <c r="B57" s="28"/>
      <c r="C57" s="29">
        <f t="shared" ref="C57:P57" si="62">IFERROR(C56/C65,"")</f>
        <v>0.16207152650338869</v>
      </c>
      <c r="D57" s="29">
        <f t="shared" si="62"/>
        <v>0.16084110266919521</v>
      </c>
      <c r="E57" s="29">
        <f t="shared" si="62"/>
        <v>0.16143979100738395</v>
      </c>
      <c r="F57" s="29">
        <f t="shared" si="62"/>
        <v>0.17184084602032998</v>
      </c>
      <c r="G57" s="29">
        <f t="shared" si="62"/>
        <v>0.16503056411341141</v>
      </c>
      <c r="H57" s="29">
        <f t="shared" si="62"/>
        <v>0.16738862531251839</v>
      </c>
      <c r="I57" s="29">
        <f t="shared" si="62"/>
        <v>0.16563231704229325</v>
      </c>
      <c r="J57" s="194">
        <f t="shared" si="62"/>
        <v>0.16971463217582325</v>
      </c>
      <c r="K57" s="194">
        <f t="shared" si="62"/>
        <v>0.16993279057656577</v>
      </c>
      <c r="L57" s="194">
        <f t="shared" si="62"/>
        <v>0.16982398909637306</v>
      </c>
      <c r="M57" s="194">
        <f t="shared" si="62"/>
        <v>0.16698222665632043</v>
      </c>
      <c r="N57" s="194">
        <f t="shared" si="62"/>
        <v>0.16887181982396907</v>
      </c>
      <c r="O57" s="194">
        <f t="shared" si="62"/>
        <v>0.1778751557527472</v>
      </c>
      <c r="P57" s="194">
        <f t="shared" si="62"/>
        <v>0.17108179772493048</v>
      </c>
      <c r="Q57" s="194">
        <f>IFERROR(Q56/Q65,"")</f>
        <v>0.1444724116666565</v>
      </c>
      <c r="R57" s="194">
        <f>IFERROR(R56/R65,"")</f>
        <v>0.12547555881475064</v>
      </c>
      <c r="S57" s="194">
        <f>IFERROR(S56/S65,"")</f>
        <v>0.13493873299141923</v>
      </c>
      <c r="T57" s="194">
        <f>IFERROR(T56/T65,"")</f>
        <v>0.11155816615105178</v>
      </c>
      <c r="U57" s="194">
        <f>IFERROR(U56/U65,"")</f>
        <v>0.12722562814889696</v>
      </c>
      <c r="V57" s="194">
        <f t="shared" ref="V57" si="63">IFERROR(V56/V65,"")</f>
        <v>0.15165290558426822</v>
      </c>
      <c r="W57" s="194">
        <f t="shared" ref="W57" si="64">IFERROR(W56/W65,"")</f>
        <v>0.13319449321431429</v>
      </c>
      <c r="X57" s="194" t="str">
        <f>IFERROR(X56/X65,"")</f>
        <v/>
      </c>
      <c r="Y57" s="194" t="str">
        <f>IFERROR(Y56/Y65,"")</f>
        <v/>
      </c>
      <c r="Z57" s="194" t="str">
        <f>IFERROR(Z56/Z65,"")</f>
        <v/>
      </c>
      <c r="AA57" s="194" t="str">
        <f>IFERROR(AA56/AA65,"")</f>
        <v/>
      </c>
      <c r="AB57" s="194" t="str">
        <f>IFERROR(AB56/AB65,"")</f>
        <v/>
      </c>
      <c r="AC57" s="194" t="str">
        <f t="shared" ref="AC57:AD57" si="65">IFERROR(AC56/AC65,"")</f>
        <v/>
      </c>
      <c r="AD57" s="194" t="str">
        <f t="shared" si="65"/>
        <v/>
      </c>
      <c r="AE57" s="194" t="str">
        <f>IFERROR(AE56/AE65,"")</f>
        <v/>
      </c>
      <c r="AF57" s="194" t="str">
        <f>IFERROR(AF56/AF65,"")</f>
        <v/>
      </c>
      <c r="AG57" s="194" t="str">
        <f>IFERROR(AG56/AG65,"")</f>
        <v/>
      </c>
      <c r="AH57" s="194" t="str">
        <f>IFERROR(AH56/AH65,"")</f>
        <v/>
      </c>
      <c r="AI57" s="194" t="str">
        <f>IFERROR(AI56/AI65,"")</f>
        <v/>
      </c>
      <c r="AJ57" s="240"/>
      <c r="AK57" s="240"/>
      <c r="AL57" s="2"/>
    </row>
    <row r="58" spans="1:39" hidden="1" outlineLevel="1" x14ac:dyDescent="0.3">
      <c r="C58" s="31"/>
      <c r="D58" s="31"/>
      <c r="E58" s="31"/>
      <c r="F58" s="31"/>
      <c r="G58" s="31"/>
      <c r="H58" s="31"/>
      <c r="I58" s="31"/>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row>
    <row r="59" spans="1:39" hidden="1" outlineLevel="1" x14ac:dyDescent="0.3">
      <c r="A59" s="15" t="s">
        <v>40</v>
      </c>
      <c r="B59" s="15"/>
      <c r="C59" s="27">
        <v>35.622</v>
      </c>
      <c r="D59" s="40">
        <f>IFERROR(E59-C59,"n.a.")</f>
        <v>36.441000000000003</v>
      </c>
      <c r="E59" s="27">
        <v>72.063000000000002</v>
      </c>
      <c r="F59" s="40">
        <f>IFERROR(G59-E59,"n.a.")</f>
        <v>41.893999999999991</v>
      </c>
      <c r="G59" s="27">
        <v>113.95699999999999</v>
      </c>
      <c r="H59" s="40">
        <f>IFERROR(I59-G59,"n.a.")</f>
        <v>49.02200000000002</v>
      </c>
      <c r="I59" s="34">
        <f>'Adj. Rev. detail - FY'!F59</f>
        <v>162.97900000000001</v>
      </c>
      <c r="J59" s="45">
        <v>40.677999999999997</v>
      </c>
      <c r="K59" s="81">
        <f>IFERROR(L59-J59,"n.a.")</f>
        <v>44.341000000000008</v>
      </c>
      <c r="L59" s="45">
        <v>85.019000000000005</v>
      </c>
      <c r="M59" s="81">
        <f>IFERROR(N59-L59,"n.a.")</f>
        <v>33.962999999999994</v>
      </c>
      <c r="N59" s="45">
        <v>118.982</v>
      </c>
      <c r="O59" s="81">
        <f>IFERROR(P59-N59,"n.a.")</f>
        <v>40.608000000000004</v>
      </c>
      <c r="P59" s="56">
        <f>'Adj. Rev. detail - FY'!G59</f>
        <v>159.59</v>
      </c>
      <c r="Q59" s="45">
        <v>45.042999999999999</v>
      </c>
      <c r="R59" s="81">
        <f>IFERROR(S59-Q59,"n.a.")</f>
        <v>43.735000000000007</v>
      </c>
      <c r="S59" s="45">
        <v>88.778000000000006</v>
      </c>
      <c r="T59" s="81">
        <f>IFERROR(U59-S59,"n.a.")</f>
        <v>34.926999999999992</v>
      </c>
      <c r="U59" s="45">
        <v>123.705</v>
      </c>
      <c r="V59" s="81">
        <f>IFERROR(W59-U59,"n.a.")</f>
        <v>43.297000000000011</v>
      </c>
      <c r="W59" s="56">
        <f>'Adj. Rev. detail - FY'!H59</f>
        <v>167.00200000000001</v>
      </c>
      <c r="X59" s="45" t="s">
        <v>230</v>
      </c>
      <c r="Y59" s="81" t="str">
        <f>IFERROR(Z59-X59,"n.a.")</f>
        <v>n.a.</v>
      </c>
      <c r="Z59" s="45" t="s">
        <v>230</v>
      </c>
      <c r="AA59" s="81" t="str">
        <f>IFERROR(AB59-Z59,"n.a.")</f>
        <v>n.a.</v>
      </c>
      <c r="AB59" s="45" t="s">
        <v>230</v>
      </c>
      <c r="AC59" s="81" t="str">
        <f>IFERROR(AD59-AB59,"n.a.")</f>
        <v>n.a.</v>
      </c>
      <c r="AD59" s="56" t="str">
        <f>'Adj. Rev. detail - FY'!I59</f>
        <v>n.a.</v>
      </c>
      <c r="AE59" s="45" t="s">
        <v>230</v>
      </c>
      <c r="AF59" s="81" t="str">
        <f>IFERROR(AG59-AE59,"n.a.")</f>
        <v>n.a.</v>
      </c>
      <c r="AG59" s="45" t="s">
        <v>230</v>
      </c>
      <c r="AH59" s="81" t="str">
        <f>IFERROR(AI59-AG59,"n.a.")</f>
        <v>n.a.</v>
      </c>
      <c r="AI59" s="45" t="s">
        <v>230</v>
      </c>
      <c r="AJ59" s="237"/>
      <c r="AK59" s="237"/>
      <c r="AM59" s="182"/>
    </row>
    <row r="60" spans="1:39" s="30" customFormat="1" ht="13" hidden="1" outlineLevel="1" x14ac:dyDescent="0.3">
      <c r="A60" s="28" t="s">
        <v>85</v>
      </c>
      <c r="B60" s="28"/>
      <c r="C60" s="29">
        <f t="shared" ref="C60:P60" si="66">IFERROR(C59/C65,"")</f>
        <v>3.0166431101690396E-2</v>
      </c>
      <c r="D60" s="29">
        <f t="shared" si="66"/>
        <v>2.9245660822242784E-2</v>
      </c>
      <c r="E60" s="29">
        <f t="shared" si="66"/>
        <v>2.9693680775316457E-2</v>
      </c>
      <c r="F60" s="29">
        <f t="shared" si="66"/>
        <v>3.2740149000735387E-2</v>
      </c>
      <c r="G60" s="29">
        <f t="shared" si="66"/>
        <v>3.0745417946073234E-2</v>
      </c>
      <c r="H60" s="29">
        <f t="shared" si="66"/>
        <v>3.8602279662184789E-2</v>
      </c>
      <c r="I60" s="29">
        <f t="shared" si="66"/>
        <v>3.2750408126684456E-2</v>
      </c>
      <c r="J60" s="194">
        <f t="shared" si="66"/>
        <v>3.0373625914128309E-2</v>
      </c>
      <c r="K60" s="194">
        <f t="shared" si="66"/>
        <v>3.2940566425301118E-2</v>
      </c>
      <c r="L60" s="194">
        <f t="shared" si="66"/>
        <v>3.1660363938339389E-2</v>
      </c>
      <c r="M60" s="194">
        <f t="shared" si="66"/>
        <v>2.5099212947566778E-2</v>
      </c>
      <c r="N60" s="194">
        <f t="shared" si="66"/>
        <v>2.9461965410381832E-2</v>
      </c>
      <c r="O60" s="194">
        <f t="shared" si="66"/>
        <v>3.0909261132563193E-2</v>
      </c>
      <c r="P60" s="194">
        <f t="shared" si="66"/>
        <v>2.9817221682887803E-2</v>
      </c>
      <c r="Q60" s="194">
        <f>IFERROR(Q59/Q65,"")</f>
        <v>3.4377041573301258E-2</v>
      </c>
      <c r="R60" s="194">
        <f>IFERROR(R59/R65,"")</f>
        <v>3.3131923159089298E-2</v>
      </c>
      <c r="S60" s="194">
        <f>IFERROR(S59/S65,"")</f>
        <v>3.3752171813754388E-2</v>
      </c>
      <c r="T60" s="194">
        <f>IFERROR(T59/T65,"")</f>
        <v>2.6972864188111151E-2</v>
      </c>
      <c r="U60" s="194">
        <f>IFERROR(U59/U65,"")</f>
        <v>3.1515720027392342E-2</v>
      </c>
      <c r="V60" s="194">
        <f t="shared" ref="V60" si="67">IFERROR(V59/V65,"")</f>
        <v>3.4111464767427206E-2</v>
      </c>
      <c r="W60" s="194">
        <f t="shared" ref="W60" si="68">IFERROR(W59/W65,"")</f>
        <v>3.2149996611777455E-2</v>
      </c>
      <c r="X60" s="194" t="str">
        <f>IFERROR(X59/X65,"")</f>
        <v/>
      </c>
      <c r="Y60" s="194" t="str">
        <f>IFERROR(Y59/Y65,"")</f>
        <v/>
      </c>
      <c r="Z60" s="194" t="str">
        <f>IFERROR(Z59/Z65,"")</f>
        <v/>
      </c>
      <c r="AA60" s="194" t="str">
        <f>IFERROR(AA59/AA65,"")</f>
        <v/>
      </c>
      <c r="AB60" s="194" t="str">
        <f>IFERROR(AB59/AB65,"")</f>
        <v/>
      </c>
      <c r="AC60" s="194" t="str">
        <f t="shared" ref="AC60:AD60" si="69">IFERROR(AC59/AC65,"")</f>
        <v/>
      </c>
      <c r="AD60" s="194" t="str">
        <f t="shared" si="69"/>
        <v/>
      </c>
      <c r="AE60" s="194" t="str">
        <f>IFERROR(AE59/AE65,"")</f>
        <v/>
      </c>
      <c r="AF60" s="194" t="str">
        <f>IFERROR(AF59/AF65,"")</f>
        <v/>
      </c>
      <c r="AG60" s="194" t="str">
        <f>IFERROR(AG59/AG65,"")</f>
        <v/>
      </c>
      <c r="AH60" s="194" t="str">
        <f>IFERROR(AH59/AH65,"")</f>
        <v/>
      </c>
      <c r="AI60" s="194" t="str">
        <f>IFERROR(AI59/AI65,"")</f>
        <v/>
      </c>
      <c r="AJ60" s="240"/>
      <c r="AK60" s="240"/>
      <c r="AL60" s="2"/>
    </row>
    <row r="61" spans="1:39" hidden="1" outlineLevel="1" x14ac:dyDescent="0.3">
      <c r="C61" s="31"/>
      <c r="D61" s="31"/>
      <c r="E61" s="31"/>
      <c r="F61" s="31"/>
      <c r="G61" s="31"/>
      <c r="H61" s="31"/>
      <c r="I61" s="31"/>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row>
    <row r="62" spans="1:39" hidden="1" outlineLevel="1" x14ac:dyDescent="0.3">
      <c r="A62" s="15" t="s">
        <v>41</v>
      </c>
      <c r="B62" s="15"/>
      <c r="C62" s="27">
        <v>62.454999999999998</v>
      </c>
      <c r="D62" s="40">
        <f>IFERROR(E62-C62,"n.a.")</f>
        <v>65.661000000000016</v>
      </c>
      <c r="E62" s="27">
        <v>128.11600000000001</v>
      </c>
      <c r="F62" s="40">
        <f>IFERROR(G62-E62,"n.a.")</f>
        <v>62.170999999999992</v>
      </c>
      <c r="G62" s="27">
        <v>190.28700000000001</v>
      </c>
      <c r="H62" s="40">
        <f>IFERROR(I62-G62,"n.a.")</f>
        <v>59.055000000000007</v>
      </c>
      <c r="I62" s="34">
        <f>'Adj. Rev. detail - FY'!F62</f>
        <v>249.34200000000001</v>
      </c>
      <c r="J62" s="45">
        <v>63.959000000000003</v>
      </c>
      <c r="K62" s="81">
        <f>IFERROR(L62-J62,"n.a.")</f>
        <v>59.266999999999996</v>
      </c>
      <c r="L62" s="45">
        <v>123.226</v>
      </c>
      <c r="M62" s="81">
        <f>IFERROR(N62-L62,"n.a.")</f>
        <v>62.871000000000009</v>
      </c>
      <c r="N62" s="45">
        <v>186.09700000000001</v>
      </c>
      <c r="O62" s="81">
        <f>IFERROR(P62-N62,"n.a.")</f>
        <v>62.850999999999999</v>
      </c>
      <c r="P62" s="56">
        <f>'Adj. Rev. detail - FY'!G62</f>
        <v>248.94800000000001</v>
      </c>
      <c r="Q62" s="45">
        <v>57.695</v>
      </c>
      <c r="R62" s="81">
        <f>IFERROR(S62-Q62,"n.a.")</f>
        <v>55.116999999999997</v>
      </c>
      <c r="S62" s="45">
        <v>112.812</v>
      </c>
      <c r="T62" s="81">
        <f>IFERROR(U62-S62,"n.a.")</f>
        <v>49.406999999999996</v>
      </c>
      <c r="U62" s="45">
        <v>162.21899999999999</v>
      </c>
      <c r="V62" s="81">
        <f>IFERROR(W62-U62,"n.a.")</f>
        <v>44.930000000000007</v>
      </c>
      <c r="W62" s="56">
        <f>'Adj. Rev. detail - FY'!H62</f>
        <v>207.149</v>
      </c>
      <c r="X62" s="45" t="s">
        <v>230</v>
      </c>
      <c r="Y62" s="81" t="str">
        <f>IFERROR(Z62-X62,"n.a.")</f>
        <v>n.a.</v>
      </c>
      <c r="Z62" s="45" t="s">
        <v>230</v>
      </c>
      <c r="AA62" s="81" t="str">
        <f>IFERROR(AB62-Z62,"n.a.")</f>
        <v>n.a.</v>
      </c>
      <c r="AB62" s="45" t="s">
        <v>230</v>
      </c>
      <c r="AC62" s="81" t="str">
        <f>IFERROR(AD62-AB62,"n.a.")</f>
        <v>n.a.</v>
      </c>
      <c r="AD62" s="56" t="str">
        <f>'Adj. Rev. detail - FY'!I62</f>
        <v>n.a.</v>
      </c>
      <c r="AE62" s="45" t="s">
        <v>230</v>
      </c>
      <c r="AF62" s="81" t="str">
        <f>IFERROR(AG62-AE62,"n.a.")</f>
        <v>n.a.</v>
      </c>
      <c r="AG62" s="45" t="s">
        <v>230</v>
      </c>
      <c r="AH62" s="81" t="str">
        <f>IFERROR(AI62-AG62,"n.a.")</f>
        <v>n.a.</v>
      </c>
      <c r="AI62" s="45" t="s">
        <v>230</v>
      </c>
      <c r="AJ62" s="237"/>
      <c r="AK62" s="237"/>
      <c r="AM62" s="182"/>
    </row>
    <row r="63" spans="1:39" s="30" customFormat="1" ht="13" hidden="1" outlineLevel="1" x14ac:dyDescent="0.3">
      <c r="A63" s="28" t="s">
        <v>86</v>
      </c>
      <c r="B63" s="28"/>
      <c r="C63" s="29">
        <f t="shared" ref="C63:P63" si="70">IFERROR(C62/C65,"")</f>
        <v>5.2889912258044847E-2</v>
      </c>
      <c r="D63" s="29">
        <f t="shared" si="70"/>
        <v>5.2696120722518142E-2</v>
      </c>
      <c r="E63" s="29">
        <f t="shared" si="70"/>
        <v>5.2790414029535868E-2</v>
      </c>
      <c r="F63" s="29">
        <f t="shared" si="70"/>
        <v>4.8586618693004249E-2</v>
      </c>
      <c r="G63" s="29">
        <f t="shared" si="70"/>
        <v>5.1339130941534424E-2</v>
      </c>
      <c r="H63" s="29">
        <f t="shared" si="70"/>
        <v>4.6502746225170782E-2</v>
      </c>
      <c r="I63" s="29">
        <f t="shared" si="70"/>
        <v>5.0104935378936892E-2</v>
      </c>
      <c r="J63" s="194">
        <f t="shared" si="70"/>
        <v>4.7757184223455741E-2</v>
      </c>
      <c r="K63" s="194">
        <f t="shared" si="70"/>
        <v>4.4028969809619102E-2</v>
      </c>
      <c r="L63" s="194">
        <f t="shared" si="70"/>
        <v>4.5888330922097521E-2</v>
      </c>
      <c r="M63" s="194">
        <f t="shared" si="70"/>
        <v>4.6462698148763991E-2</v>
      </c>
      <c r="N63" s="194">
        <f t="shared" si="70"/>
        <v>4.6080780092583991E-2</v>
      </c>
      <c r="O63" s="194">
        <f t="shared" si="70"/>
        <v>4.7839784560744905E-2</v>
      </c>
      <c r="P63" s="194">
        <f t="shared" si="70"/>
        <v>4.6512549053897824E-2</v>
      </c>
      <c r="Q63" s="194">
        <f>IFERROR(Q62/Q65,"")</f>
        <v>4.4033110884524038E-2</v>
      </c>
      <c r="R63" s="194">
        <f>IFERROR(R62/R65,"")</f>
        <v>4.1754480593564069E-2</v>
      </c>
      <c r="S63" s="194">
        <f>IFERROR(S62/S65,"")</f>
        <v>4.2889567310068481E-2</v>
      </c>
      <c r="T63" s="194">
        <f>IFERROR(T62/T65,"")</f>
        <v>3.8155246684284584E-2</v>
      </c>
      <c r="U63" s="194">
        <f>IFERROR(U62/U65,"")</f>
        <v>4.1327744126135227E-2</v>
      </c>
      <c r="V63" s="194">
        <f t="shared" ref="V63" si="71">IFERROR(V62/V65,"")</f>
        <v>3.5398020925248963E-2</v>
      </c>
      <c r="W63" s="194">
        <f t="shared" ref="W63" si="72">IFERROR(W62/W65,"")</f>
        <v>3.9878801739698259E-2</v>
      </c>
      <c r="X63" s="194" t="str">
        <f>IFERROR(X62/X65,"")</f>
        <v/>
      </c>
      <c r="Y63" s="194" t="str">
        <f>IFERROR(Y62/Y65,"")</f>
        <v/>
      </c>
      <c r="Z63" s="194" t="str">
        <f>IFERROR(Z62/Z65,"")</f>
        <v/>
      </c>
      <c r="AA63" s="194" t="str">
        <f>IFERROR(AA62/AA65,"")</f>
        <v/>
      </c>
      <c r="AB63" s="194" t="str">
        <f>IFERROR(AB62/AB65,"")</f>
        <v/>
      </c>
      <c r="AC63" s="194" t="str">
        <f t="shared" ref="AC63:AD63" si="73">IFERROR(AC62/AC65,"")</f>
        <v/>
      </c>
      <c r="AD63" s="194" t="str">
        <f t="shared" si="73"/>
        <v/>
      </c>
      <c r="AE63" s="194" t="str">
        <f>IFERROR(AE62/AE65,"")</f>
        <v/>
      </c>
      <c r="AF63" s="194" t="str">
        <f>IFERROR(AF62/AF65,"")</f>
        <v/>
      </c>
      <c r="AG63" s="194" t="str">
        <f>IFERROR(AG62/AG65,"")</f>
        <v/>
      </c>
      <c r="AH63" s="194" t="str">
        <f>IFERROR(AH62/AH65,"")</f>
        <v/>
      </c>
      <c r="AI63" s="194" t="str">
        <f>IFERROR(AI62/AI65,"")</f>
        <v/>
      </c>
      <c r="AJ63" s="240"/>
      <c r="AK63" s="240"/>
      <c r="AL63" s="2"/>
    </row>
    <row r="64" spans="1:39" hidden="1" outlineLevel="1" x14ac:dyDescent="0.3">
      <c r="C64" s="31"/>
      <c r="D64" s="31"/>
      <c r="E64" s="31"/>
      <c r="F64" s="31"/>
      <c r="G64" s="31"/>
      <c r="H64" s="31"/>
      <c r="I64" s="31"/>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row>
    <row r="65" spans="1:38" s="25" customFormat="1" ht="13" hidden="1" outlineLevel="1" x14ac:dyDescent="0.3">
      <c r="A65" s="103" t="s">
        <v>29</v>
      </c>
      <c r="B65" s="103"/>
      <c r="C65" s="110">
        <f t="shared" ref="C65:W65" si="74">IFERROR(C47+C50+C56+C53+C59+C62,"n.a.")</f>
        <v>1180.8489999999999</v>
      </c>
      <c r="D65" s="110">
        <f t="shared" si="74"/>
        <v>1246.0310000000002</v>
      </c>
      <c r="E65" s="110">
        <f t="shared" si="74"/>
        <v>2426.88</v>
      </c>
      <c r="F65" s="110">
        <f t="shared" si="74"/>
        <v>1279.5909999999999</v>
      </c>
      <c r="G65" s="110">
        <f t="shared" si="74"/>
        <v>3706.4709999999995</v>
      </c>
      <c r="H65" s="110">
        <f t="shared" si="74"/>
        <v>1269.925</v>
      </c>
      <c r="I65" s="110">
        <f t="shared" si="74"/>
        <v>4976.3959999999997</v>
      </c>
      <c r="J65" s="104">
        <f t="shared" si="74"/>
        <v>1339.2540000000001</v>
      </c>
      <c r="K65" s="104">
        <f t="shared" si="74"/>
        <v>1346.0910000000001</v>
      </c>
      <c r="L65" s="104">
        <f t="shared" si="74"/>
        <v>2685.3450000000007</v>
      </c>
      <c r="M65" s="104">
        <f t="shared" si="74"/>
        <v>1353.1500000000003</v>
      </c>
      <c r="N65" s="104">
        <f t="shared" si="74"/>
        <v>4038.4950000000008</v>
      </c>
      <c r="O65" s="104">
        <f t="shared" si="74"/>
        <v>1313.7809999999999</v>
      </c>
      <c r="P65" s="104">
        <f t="shared" si="74"/>
        <v>5352.2759999999998</v>
      </c>
      <c r="Q65" s="104">
        <f t="shared" si="74"/>
        <v>1310.2639999999999</v>
      </c>
      <c r="R65" s="104">
        <f t="shared" si="74"/>
        <v>1320.0259999999998</v>
      </c>
      <c r="S65" s="104">
        <f t="shared" si="74"/>
        <v>2630.2899999999995</v>
      </c>
      <c r="T65" s="104">
        <f t="shared" si="74"/>
        <v>1294.8939999999998</v>
      </c>
      <c r="U65" s="104">
        <f t="shared" si="74"/>
        <v>3925.1840000000002</v>
      </c>
      <c r="V65" s="104">
        <f t="shared" si="74"/>
        <v>1269.2800000000002</v>
      </c>
      <c r="W65" s="104">
        <f t="shared" si="74"/>
        <v>5194.4640000000009</v>
      </c>
      <c r="X65" s="104">
        <f>X38</f>
        <v>1313.8029999999999</v>
      </c>
      <c r="Y65" s="104">
        <f>Y38</f>
        <v>1341.0420000000004</v>
      </c>
      <c r="Z65" s="104">
        <f>Z38</f>
        <v>2654.8450000000003</v>
      </c>
      <c r="AA65" s="104" t="str">
        <f t="shared" ref="AA65:AD65" si="75">IFERROR(AA47+AA50+AA56+AA53+AA59+AA62,"n.a.")</f>
        <v>n.a.</v>
      </c>
      <c r="AB65" s="104" t="str">
        <f t="shared" si="75"/>
        <v>n.a.</v>
      </c>
      <c r="AC65" s="104" t="str">
        <f t="shared" si="75"/>
        <v>n.a.</v>
      </c>
      <c r="AD65" s="104" t="str">
        <f t="shared" si="75"/>
        <v>n.a.</v>
      </c>
      <c r="AE65" s="104" t="str">
        <f>AE38</f>
        <v>n.a.</v>
      </c>
      <c r="AF65" s="104" t="str">
        <f>AF38</f>
        <v>n.a.</v>
      </c>
      <c r="AG65" s="104" t="str">
        <f>AG38</f>
        <v>n.a.</v>
      </c>
      <c r="AH65" s="104" t="str">
        <f>AH38</f>
        <v>n.a.</v>
      </c>
      <c r="AI65" s="104" t="str">
        <f>AI38</f>
        <v>n.a.</v>
      </c>
      <c r="AJ65" s="238"/>
      <c r="AK65" s="238"/>
    </row>
    <row r="66" spans="1:38" hidden="1" outlineLevel="1" x14ac:dyDescent="0.3">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row>
    <row r="67" spans="1:38" s="30" customFormat="1" ht="13" hidden="1" outlineLevel="1" x14ac:dyDescent="0.3">
      <c r="A67" s="28" t="s">
        <v>273</v>
      </c>
      <c r="B67" s="28"/>
      <c r="C67" s="29">
        <f t="shared" ref="C67:I67" si="76">IFERROR((C47+C50+C53)/C65,"n.a.")</f>
        <v>0.75487213013687626</v>
      </c>
      <c r="D67" s="29">
        <f t="shared" si="76"/>
        <v>0.75721711578604367</v>
      </c>
      <c r="E67" s="29">
        <f t="shared" si="76"/>
        <v>0.75607611418776366</v>
      </c>
      <c r="F67" s="29">
        <f t="shared" si="76"/>
        <v>0.74683238628593041</v>
      </c>
      <c r="G67" s="29">
        <f t="shared" si="76"/>
        <v>0.75288488699898104</v>
      </c>
      <c r="H67" s="29">
        <f t="shared" si="76"/>
        <v>0.74750634880012601</v>
      </c>
      <c r="I67" s="29">
        <f t="shared" si="76"/>
        <v>0.75151233945208551</v>
      </c>
      <c r="J67" s="194">
        <f>IFERROR((J47+J50+J53)/J65,"n.a.")</f>
        <v>0.75215455768659267</v>
      </c>
      <c r="K67" s="194">
        <f t="shared" ref="K67:W67" si="77">IFERROR((K47+K50+K53)/K65,"n.a.")</f>
        <v>0.75309767318851384</v>
      </c>
      <c r="L67" s="194">
        <f t="shared" si="77"/>
        <v>0.75262731604318978</v>
      </c>
      <c r="M67" s="194">
        <f t="shared" si="77"/>
        <v>0.76145586224734862</v>
      </c>
      <c r="N67" s="194">
        <f t="shared" si="77"/>
        <v>0.75558543467306505</v>
      </c>
      <c r="O67" s="194">
        <f t="shared" si="77"/>
        <v>0.74337579855394476</v>
      </c>
      <c r="P67" s="194">
        <f t="shared" si="77"/>
        <v>0.75258843153828392</v>
      </c>
      <c r="Q67" s="194">
        <f t="shared" si="77"/>
        <v>0.77711743587551829</v>
      </c>
      <c r="R67" s="194">
        <f t="shared" si="77"/>
        <v>0.7996380374325962</v>
      </c>
      <c r="S67" s="194">
        <f t="shared" si="77"/>
        <v>0.78841952788475811</v>
      </c>
      <c r="T67" s="194">
        <f t="shared" si="77"/>
        <v>0.82331372297655248</v>
      </c>
      <c r="U67" s="194">
        <f t="shared" si="77"/>
        <v>0.79993090769757547</v>
      </c>
      <c r="V67" s="194">
        <f t="shared" si="77"/>
        <v>0.77883760872305552</v>
      </c>
      <c r="W67" s="194">
        <f t="shared" si="77"/>
        <v>0.79477670843420989</v>
      </c>
      <c r="X67" s="194" t="str">
        <f t="shared" ref="X67:AD67" si="78">IFERROR((X47+X50+X53)/X65,"n.a.")</f>
        <v>n.a.</v>
      </c>
      <c r="Y67" s="194" t="str">
        <f t="shared" si="78"/>
        <v>n.a.</v>
      </c>
      <c r="Z67" s="194" t="str">
        <f t="shared" si="78"/>
        <v>n.a.</v>
      </c>
      <c r="AA67" s="194" t="str">
        <f t="shared" si="78"/>
        <v>n.a.</v>
      </c>
      <c r="AB67" s="194" t="str">
        <f t="shared" si="78"/>
        <v>n.a.</v>
      </c>
      <c r="AC67" s="194" t="str">
        <f t="shared" si="78"/>
        <v>n.a.</v>
      </c>
      <c r="AD67" s="194" t="str">
        <f t="shared" si="78"/>
        <v>n.a.</v>
      </c>
      <c r="AE67" s="194" t="str">
        <f t="shared" ref="AE67:AG67" si="79">IFERROR((AE47+AE50+AE53)/AE65,"n.a.")</f>
        <v>n.a.</v>
      </c>
      <c r="AF67" s="194" t="str">
        <f t="shared" si="79"/>
        <v>n.a.</v>
      </c>
      <c r="AG67" s="194" t="str">
        <f t="shared" si="79"/>
        <v>n.a.</v>
      </c>
      <c r="AH67" s="194" t="str">
        <f t="shared" ref="AH67:AI67" si="80">IFERROR((AH47+AH50+AH53)/AH65,"n.a.")</f>
        <v>n.a.</v>
      </c>
      <c r="AI67" s="194" t="str">
        <f t="shared" si="80"/>
        <v>n.a.</v>
      </c>
      <c r="AJ67" s="240"/>
      <c r="AK67" s="240"/>
      <c r="AL67" s="2"/>
    </row>
    <row r="68" spans="1:38" s="30" customFormat="1" ht="13" hidden="1" outlineLevel="1" x14ac:dyDescent="0.3">
      <c r="A68" s="28" t="s">
        <v>274</v>
      </c>
      <c r="B68" s="28"/>
      <c r="C68" s="29">
        <f t="shared" ref="C68:I68" si="81">IFERROR((C56+C59+C62)/C65,"n.a.")</f>
        <v>0.24512786986312393</v>
      </c>
      <c r="D68" s="29">
        <f t="shared" si="81"/>
        <v>0.24278288421395616</v>
      </c>
      <c r="E68" s="29">
        <f t="shared" si="81"/>
        <v>0.24392388581223629</v>
      </c>
      <c r="F68" s="29">
        <f t="shared" si="81"/>
        <v>0.25316761371406959</v>
      </c>
      <c r="G68" s="29">
        <f t="shared" si="81"/>
        <v>0.24711511300101907</v>
      </c>
      <c r="H68" s="29">
        <f t="shared" si="81"/>
        <v>0.25249365119987399</v>
      </c>
      <c r="I68" s="29">
        <f t="shared" si="81"/>
        <v>0.24848766054791463</v>
      </c>
      <c r="J68" s="194">
        <f>IFERROR((J56+J59+J62)/J65,"n.a.")</f>
        <v>0.2478454423134073</v>
      </c>
      <c r="K68" s="194">
        <f t="shared" ref="K68:W68" si="82">IFERROR((K56+K59+K62)/K65,"n.a.")</f>
        <v>0.24690232681148599</v>
      </c>
      <c r="L68" s="194">
        <f t="shared" si="82"/>
        <v>0.24737268395680997</v>
      </c>
      <c r="M68" s="194">
        <f t="shared" si="82"/>
        <v>0.23854413775265121</v>
      </c>
      <c r="N68" s="194">
        <f t="shared" si="82"/>
        <v>0.24441456532693487</v>
      </c>
      <c r="O68" s="194">
        <f t="shared" si="82"/>
        <v>0.2566242014460553</v>
      </c>
      <c r="P68" s="194">
        <f t="shared" si="82"/>
        <v>0.24741156846171614</v>
      </c>
      <c r="Q68" s="194">
        <f t="shared" si="82"/>
        <v>0.22288256412448182</v>
      </c>
      <c r="R68" s="194">
        <f t="shared" si="82"/>
        <v>0.20036196256740399</v>
      </c>
      <c r="S68" s="194">
        <f t="shared" si="82"/>
        <v>0.21158047211524209</v>
      </c>
      <c r="T68" s="194">
        <f t="shared" si="82"/>
        <v>0.17668627702344752</v>
      </c>
      <c r="U68" s="194">
        <f t="shared" si="82"/>
        <v>0.20006909230242453</v>
      </c>
      <c r="V68" s="194">
        <f t="shared" si="82"/>
        <v>0.2211623912769444</v>
      </c>
      <c r="W68" s="194">
        <f t="shared" si="82"/>
        <v>0.20522329156579003</v>
      </c>
      <c r="X68" s="194" t="str">
        <f t="shared" ref="X68:AD68" si="83">IFERROR((X56+X59+X62)/X65,"n.a.")</f>
        <v>n.a.</v>
      </c>
      <c r="Y68" s="194" t="str">
        <f t="shared" si="83"/>
        <v>n.a.</v>
      </c>
      <c r="Z68" s="194" t="str">
        <f t="shared" si="83"/>
        <v>n.a.</v>
      </c>
      <c r="AA68" s="194" t="str">
        <f t="shared" si="83"/>
        <v>n.a.</v>
      </c>
      <c r="AB68" s="194" t="str">
        <f t="shared" si="83"/>
        <v>n.a.</v>
      </c>
      <c r="AC68" s="194" t="str">
        <f t="shared" si="83"/>
        <v>n.a.</v>
      </c>
      <c r="AD68" s="194" t="str">
        <f t="shared" si="83"/>
        <v>n.a.</v>
      </c>
      <c r="AE68" s="194" t="str">
        <f t="shared" ref="AE68:AG68" si="84">IFERROR((AE56+AE59+AE62)/AE65,"n.a.")</f>
        <v>n.a.</v>
      </c>
      <c r="AF68" s="194" t="str">
        <f t="shared" si="84"/>
        <v>n.a.</v>
      </c>
      <c r="AG68" s="194" t="str">
        <f t="shared" si="84"/>
        <v>n.a.</v>
      </c>
      <c r="AH68" s="194" t="str">
        <f t="shared" ref="AH68:AI68" si="85">IFERROR((AH56+AH59+AH62)/AH65,"n.a.")</f>
        <v>n.a.</v>
      </c>
      <c r="AI68" s="194" t="str">
        <f t="shared" si="85"/>
        <v>n.a.</v>
      </c>
      <c r="AJ68" s="240"/>
      <c r="AK68" s="240"/>
      <c r="AL68" s="2"/>
    </row>
    <row r="69" spans="1:38" collapsed="1" x14ac:dyDescent="0.3"/>
    <row r="71" spans="1:38" ht="25.5" customHeight="1" x14ac:dyDescent="0.3">
      <c r="A71" s="260" t="s">
        <v>267</v>
      </c>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row>
  </sheetData>
  <mergeCells count="1">
    <mergeCell ref="A71:AL71"/>
  </mergeCells>
  <pageMargins left="0" right="0" top="0" bottom="0" header="0" footer="0"/>
  <pageSetup paperSize="9" scale="80" orientation="landscape" r:id="rId1"/>
  <ignoredErrors>
    <ignoredError sqref="D38:E38 F38:G38 H38 K38:L38 M38:N38 O38"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25"/>
  <sheetViews>
    <sheetView showGridLines="0" zoomScale="90" zoomScaleNormal="90" zoomScaleSheetLayoutView="100" workbookViewId="0">
      <pane xSplit="2" ySplit="6" topLeftCell="C7" activePane="bottomRight" state="frozen"/>
      <selection pane="topRight" activeCell="C1" sqref="C1"/>
      <selection pane="bottomLeft" activeCell="A7" sqref="A7"/>
      <selection pane="bottomRight"/>
    </sheetView>
  </sheetViews>
  <sheetFormatPr defaultColWidth="9" defaultRowHeight="12.5" x14ac:dyDescent="0.3"/>
  <cols>
    <col min="1" max="1" width="50.58203125" style="2" customWidth="1"/>
    <col min="2" max="2" width="4.58203125" style="2" customWidth="1"/>
    <col min="3" max="9" width="11.58203125" style="2" customWidth="1"/>
    <col min="10" max="10" width="2.58203125" style="2" customWidth="1"/>
    <col min="11" max="16384" width="9" style="2"/>
  </cols>
  <sheetData>
    <row r="1" spans="1:9" s="9" customFormat="1" ht="27.75" customHeight="1" x14ac:dyDescent="0.3">
      <c r="A1" s="9" t="s">
        <v>194</v>
      </c>
      <c r="B1" s="10"/>
      <c r="C1" s="10"/>
      <c r="D1" s="10"/>
      <c r="E1" s="10"/>
      <c r="F1" s="10"/>
      <c r="G1" s="10"/>
      <c r="H1" s="10"/>
      <c r="I1" s="10"/>
    </row>
    <row r="2" spans="1:9" x14ac:dyDescent="0.3">
      <c r="A2" s="33" t="s">
        <v>192</v>
      </c>
    </row>
    <row r="4" spans="1:9" ht="13.5" thickBot="1" x14ac:dyDescent="0.35">
      <c r="A4" s="12" t="s">
        <v>48</v>
      </c>
      <c r="B4" s="14"/>
      <c r="C4" s="14" t="s">
        <v>25</v>
      </c>
      <c r="D4" s="14" t="s">
        <v>26</v>
      </c>
      <c r="E4" s="14" t="s">
        <v>26</v>
      </c>
      <c r="F4" s="14" t="s">
        <v>162</v>
      </c>
      <c r="G4" s="14" t="s">
        <v>265</v>
      </c>
      <c r="H4" s="14" t="s">
        <v>309</v>
      </c>
      <c r="I4" s="14" t="s">
        <v>338</v>
      </c>
    </row>
    <row r="5" spans="1:9" x14ac:dyDescent="0.3">
      <c r="C5" s="41" t="s">
        <v>178</v>
      </c>
      <c r="D5" s="41" t="s">
        <v>178</v>
      </c>
      <c r="E5" s="41" t="s">
        <v>191</v>
      </c>
      <c r="F5" s="41" t="s">
        <v>177</v>
      </c>
      <c r="G5" s="41" t="s">
        <v>177</v>
      </c>
      <c r="H5" s="41" t="s">
        <v>177</v>
      </c>
      <c r="I5" s="41" t="s">
        <v>177</v>
      </c>
    </row>
    <row r="7" spans="1:9" ht="13" x14ac:dyDescent="0.3">
      <c r="A7" s="101" t="s">
        <v>240</v>
      </c>
      <c r="B7" s="102"/>
      <c r="C7" s="218">
        <f>ROUND('Fin. Highlights - FY'!C24,1)</f>
        <v>654.20000000000005</v>
      </c>
      <c r="D7" s="218">
        <f>ROUND('Fin. Highlights - FY'!D24,1)</f>
        <v>769.2</v>
      </c>
      <c r="E7" s="218">
        <f>ROUND('Fin. Highlights - FY'!D24,1)</f>
        <v>769.2</v>
      </c>
      <c r="F7" s="218">
        <f>ROUND('Fin. Highlights - FY'!F24,1)</f>
        <v>844.3</v>
      </c>
      <c r="G7" s="218">
        <f>ROUND('Fin. Highlights - FY'!G24,1)</f>
        <v>876.4</v>
      </c>
      <c r="H7" s="218">
        <f>ROUND('Fin. Highlights - FY'!H24,1)</f>
        <v>955</v>
      </c>
      <c r="I7" s="218">
        <f>ROUND('Fin. Highlights - FY'!I24,1)</f>
        <v>917.3</v>
      </c>
    </row>
    <row r="8" spans="1:9" x14ac:dyDescent="0.3">
      <c r="C8" s="44"/>
      <c r="D8" s="44"/>
      <c r="E8" s="44"/>
      <c r="F8" s="44"/>
      <c r="G8" s="44"/>
      <c r="H8" s="44"/>
      <c r="I8" s="44"/>
    </row>
    <row r="9" spans="1:9" x14ac:dyDescent="0.3">
      <c r="A9" s="39" t="s">
        <v>27</v>
      </c>
      <c r="B9" s="15"/>
      <c r="C9" s="45">
        <v>2</v>
      </c>
      <c r="D9" s="45">
        <v>58</v>
      </c>
      <c r="E9" s="45">
        <v>58</v>
      </c>
      <c r="F9" s="45">
        <v>23.2</v>
      </c>
      <c r="G9" s="45">
        <v>-68.3</v>
      </c>
      <c r="H9" s="45">
        <v>-44.8</v>
      </c>
      <c r="I9" s="45">
        <v>-350.58</v>
      </c>
    </row>
    <row r="10" spans="1:9" x14ac:dyDescent="0.3">
      <c r="C10" s="205"/>
      <c r="D10" s="205"/>
      <c r="E10" s="205"/>
      <c r="F10" s="205"/>
      <c r="G10" s="205"/>
      <c r="H10" s="205"/>
      <c r="I10" s="205"/>
    </row>
    <row r="11" spans="1:9" x14ac:dyDescent="0.3">
      <c r="A11" s="39" t="s">
        <v>28</v>
      </c>
      <c r="B11" s="15"/>
      <c r="C11" s="45">
        <v>188</v>
      </c>
      <c r="D11" s="45">
        <v>100</v>
      </c>
      <c r="E11" s="45">
        <v>100</v>
      </c>
      <c r="F11" s="45">
        <v>277.5</v>
      </c>
      <c r="G11" s="45">
        <v>238.7</v>
      </c>
      <c r="H11" s="45">
        <v>122.9</v>
      </c>
      <c r="I11" s="45">
        <v>19.53</v>
      </c>
    </row>
    <row r="12" spans="1:9" x14ac:dyDescent="0.3">
      <c r="C12" s="205"/>
      <c r="D12" s="205"/>
      <c r="E12" s="205"/>
      <c r="F12" s="205"/>
      <c r="G12" s="205"/>
      <c r="H12" s="205"/>
      <c r="I12" s="205"/>
    </row>
    <row r="13" spans="1:9" x14ac:dyDescent="0.3">
      <c r="A13" s="39" t="s">
        <v>44</v>
      </c>
      <c r="B13" s="15"/>
      <c r="C13" s="45">
        <v>96</v>
      </c>
      <c r="D13" s="45">
        <v>98</v>
      </c>
      <c r="E13" s="45">
        <v>98</v>
      </c>
      <c r="F13" s="45">
        <v>46.6</v>
      </c>
      <c r="G13" s="45">
        <v>70.099999999999994</v>
      </c>
      <c r="H13" s="45">
        <v>70</v>
      </c>
      <c r="I13" s="45">
        <v>159.6</v>
      </c>
    </row>
    <row r="14" spans="1:9" x14ac:dyDescent="0.3">
      <c r="C14" s="44"/>
      <c r="D14" s="44"/>
      <c r="E14" s="44"/>
      <c r="F14" s="44"/>
      <c r="G14" s="44"/>
      <c r="H14" s="44"/>
      <c r="I14" s="44"/>
    </row>
    <row r="15" spans="1:9" x14ac:dyDescent="0.3">
      <c r="A15" s="39" t="s">
        <v>32</v>
      </c>
      <c r="B15" s="15"/>
      <c r="C15" s="56">
        <f>IFERROR('Fin. Highlights - FY'!D22-'Fin. Highlights - FY'!C22,"n.a.")</f>
        <v>0</v>
      </c>
      <c r="D15" s="56">
        <f>IFERROR('Fin. Highlights - FY'!E22-'Fin. Highlights - FY'!D22,"n.a.")</f>
        <v>0</v>
      </c>
      <c r="E15" s="56">
        <f>IFERROR('Fin. Highlights - FY'!F22-'Fin. Highlights - FY'!D22,"n.a.")</f>
        <v>0</v>
      </c>
      <c r="F15" s="56">
        <f>IFERROR('Fin. Highlights - FY'!G22-'Fin. Highlights - FY'!F22,"n.a.")</f>
        <v>-50.2</v>
      </c>
      <c r="G15" s="56">
        <f>IFERROR('Fin. Highlights - FY'!H22-'Fin. Highlights - FY'!G22,"n.a.")</f>
        <v>2.5</v>
      </c>
      <c r="H15" s="56">
        <f>IFERROR('Fin. Highlights - FY'!I22-'Fin. Highlights - FY'!H22,"n.a.")</f>
        <v>6.4000000000000057</v>
      </c>
      <c r="I15" s="56"/>
    </row>
    <row r="16" spans="1:9" x14ac:dyDescent="0.3">
      <c r="C16" s="205"/>
      <c r="D16" s="205"/>
      <c r="E16" s="205"/>
      <c r="F16" s="205"/>
      <c r="G16" s="205"/>
      <c r="H16" s="205"/>
      <c r="I16" s="205"/>
    </row>
    <row r="17" spans="1:9" x14ac:dyDescent="0.3">
      <c r="A17" s="39" t="s">
        <v>47</v>
      </c>
      <c r="B17" s="15"/>
      <c r="C17" s="45">
        <v>-71</v>
      </c>
      <c r="D17" s="45">
        <v>-72.900000000000006</v>
      </c>
      <c r="E17" s="45">
        <v>-72.900000000000006</v>
      </c>
      <c r="F17" s="45">
        <v>-39.899999999999991</v>
      </c>
      <c r="G17" s="45">
        <v>-20.7</v>
      </c>
      <c r="H17" s="45">
        <v>-50.7</v>
      </c>
      <c r="I17" s="45">
        <v>-114.5</v>
      </c>
    </row>
    <row r="18" spans="1:9" x14ac:dyDescent="0.3">
      <c r="C18" s="205"/>
      <c r="D18" s="205"/>
      <c r="E18" s="205"/>
      <c r="F18" s="205"/>
      <c r="G18" s="205"/>
      <c r="H18" s="205"/>
      <c r="I18" s="205"/>
    </row>
    <row r="19" spans="1:9" x14ac:dyDescent="0.3">
      <c r="A19" s="39" t="s">
        <v>43</v>
      </c>
      <c r="B19" s="15"/>
      <c r="C19" s="45">
        <v>19</v>
      </c>
      <c r="D19" s="45">
        <v>-5</v>
      </c>
      <c r="E19" s="45">
        <v>-5</v>
      </c>
      <c r="F19" s="45">
        <v>-164.8</v>
      </c>
      <c r="G19" s="45">
        <v>-52</v>
      </c>
      <c r="H19" s="45">
        <v>-66.7</v>
      </c>
      <c r="I19" s="45">
        <v>-20</v>
      </c>
    </row>
    <row r="20" spans="1:9" x14ac:dyDescent="0.3">
      <c r="C20" s="205"/>
      <c r="D20" s="205"/>
      <c r="E20" s="205"/>
      <c r="F20" s="205"/>
      <c r="G20" s="205"/>
      <c r="H20" s="205"/>
      <c r="I20" s="205"/>
    </row>
    <row r="21" spans="1:9" x14ac:dyDescent="0.3">
      <c r="A21" s="39" t="s">
        <v>45</v>
      </c>
      <c r="B21" s="15"/>
      <c r="C21" s="45">
        <v>-122</v>
      </c>
      <c r="D21" s="45">
        <v>-70</v>
      </c>
      <c r="E21" s="45">
        <v>-70</v>
      </c>
      <c r="F21" s="45">
        <v>-53.6</v>
      </c>
      <c r="G21" s="45">
        <v>-48.3</v>
      </c>
      <c r="H21" s="45">
        <v>-76.599999999999994</v>
      </c>
      <c r="I21" s="45">
        <v>-50</v>
      </c>
    </row>
    <row r="22" spans="1:9" x14ac:dyDescent="0.3">
      <c r="C22" s="205"/>
      <c r="D22" s="205"/>
      <c r="E22" s="205"/>
      <c r="F22" s="205"/>
      <c r="G22" s="205"/>
      <c r="H22" s="205"/>
      <c r="I22" s="205"/>
    </row>
    <row r="23" spans="1:9" x14ac:dyDescent="0.3">
      <c r="A23" s="39" t="s">
        <v>46</v>
      </c>
      <c r="B23" s="15"/>
      <c r="C23" s="45">
        <v>3</v>
      </c>
      <c r="D23" s="45">
        <v>-33</v>
      </c>
      <c r="E23" s="45">
        <v>-33</v>
      </c>
      <c r="F23" s="45">
        <v>-6.7</v>
      </c>
      <c r="G23" s="45">
        <v>-43.378778255913289</v>
      </c>
      <c r="H23" s="45">
        <v>1.8</v>
      </c>
      <c r="I23" s="45">
        <v>-60.1</v>
      </c>
    </row>
    <row r="24" spans="1:9" x14ac:dyDescent="0.3">
      <c r="C24" s="44"/>
      <c r="D24" s="44"/>
      <c r="E24" s="44"/>
      <c r="F24" s="44"/>
      <c r="G24" s="44"/>
      <c r="H24" s="44"/>
      <c r="I24" s="44"/>
    </row>
    <row r="25" spans="1:9" ht="13" x14ac:dyDescent="0.3">
      <c r="A25" s="38" t="s">
        <v>239</v>
      </c>
      <c r="B25" s="38"/>
      <c r="C25" s="122">
        <f t="shared" ref="C25:H25" si="0">SUM(C7,C9,C11,C13,C15,C17,C19,C21,C23)</f>
        <v>769.2</v>
      </c>
      <c r="D25" s="122">
        <f t="shared" si="0"/>
        <v>844.30000000000007</v>
      </c>
      <c r="E25" s="122">
        <f t="shared" si="0"/>
        <v>844.30000000000007</v>
      </c>
      <c r="F25" s="122">
        <f t="shared" si="0"/>
        <v>876.39999999999975</v>
      </c>
      <c r="G25" s="122">
        <f t="shared" si="0"/>
        <v>955.02122174408657</v>
      </c>
      <c r="H25" s="122">
        <f t="shared" si="0"/>
        <v>917.30000000000007</v>
      </c>
      <c r="I25" s="122">
        <f>SUM(I7,I9,I11,I13,I15,I17,I19,I21,I23)-0.1</f>
        <v>501.15</v>
      </c>
    </row>
  </sheetData>
  <pageMargins left="0" right="0" top="0" bottom="0" header="0" footer="0"/>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E25"/>
  <sheetViews>
    <sheetView showGridLines="0" zoomScale="90" zoomScaleNormal="90" zoomScaleSheetLayoutView="100" workbookViewId="0">
      <pane xSplit="2" ySplit="6" topLeftCell="C7" activePane="bottomRight" state="frozen"/>
      <selection pane="topRight" activeCell="C1" sqref="C1"/>
      <selection pane="bottomLeft" activeCell="A7" sqref="A7"/>
      <selection pane="bottomRight"/>
    </sheetView>
  </sheetViews>
  <sheetFormatPr defaultColWidth="9" defaultRowHeight="12.5" outlineLevelCol="1" x14ac:dyDescent="0.3"/>
  <cols>
    <col min="1" max="1" width="50.58203125" style="2" customWidth="1"/>
    <col min="2" max="2" width="4.58203125" style="2" customWidth="1"/>
    <col min="3" max="5" width="9.58203125" style="2" hidden="1" customWidth="1" outlineLevel="1"/>
    <col min="6" max="6" width="9.58203125" style="2" hidden="1" customWidth="1" outlineLevel="1" collapsed="1"/>
    <col min="7" max="7" width="9.58203125" style="2" hidden="1" customWidth="1" outlineLevel="1"/>
    <col min="8" max="8" width="9.58203125" style="2" hidden="1" customWidth="1" outlineLevel="1" collapsed="1"/>
    <col min="9" max="9" width="9.58203125" style="2" hidden="1" customWidth="1" outlineLevel="1"/>
    <col min="10" max="10" width="9.58203125" style="2" customWidth="1" collapsed="1"/>
    <col min="11" max="11" width="9.58203125" style="2" customWidth="1"/>
    <col min="12" max="12" width="9.58203125" style="2" hidden="1" customWidth="1" outlineLevel="1"/>
    <col min="13" max="13" width="9.58203125" style="2" customWidth="1" collapsed="1"/>
    <col min="14" max="14" width="9.58203125" style="2" hidden="1" customWidth="1" outlineLevel="1"/>
    <col min="15" max="15" width="9.58203125" style="2" customWidth="1" collapsed="1"/>
    <col min="16" max="16" width="9.58203125" style="2" hidden="1" customWidth="1" outlineLevel="1"/>
    <col min="17" max="17" width="9.58203125" style="2" customWidth="1" collapsed="1"/>
    <col min="18" max="18" width="9.58203125" style="2" customWidth="1"/>
    <col min="19" max="19" width="9.58203125" style="2" hidden="1" customWidth="1" outlineLevel="1"/>
    <col min="20" max="20" width="9.58203125" style="2" customWidth="1" collapsed="1"/>
    <col min="21" max="21" width="9.58203125" style="2" hidden="1" customWidth="1" outlineLevel="1"/>
    <col min="22" max="22" width="9.58203125" style="2" customWidth="1" collapsed="1"/>
    <col min="23" max="23" width="9.58203125" style="2" hidden="1" customWidth="1" outlineLevel="1"/>
    <col min="24" max="24" width="9.58203125" style="2" customWidth="1" collapsed="1"/>
    <col min="25" max="25" width="9.58203125" style="2" customWidth="1"/>
    <col min="26" max="26" width="9.58203125" style="2" hidden="1" customWidth="1" outlineLevel="1"/>
    <col min="27" max="27" width="9.58203125" style="2" customWidth="1" collapsed="1"/>
    <col min="28" max="28" width="9.58203125" style="2" hidden="1" customWidth="1" outlineLevel="1"/>
    <col min="29" max="29" width="9.58203125" style="2" customWidth="1" collapsed="1"/>
    <col min="30" max="30" width="9.58203125" style="2" hidden="1" customWidth="1" outlineLevel="1"/>
    <col min="31" max="31" width="2.58203125" style="2" customWidth="1" collapsed="1"/>
    <col min="32" max="16384" width="9" style="2"/>
  </cols>
  <sheetData>
    <row r="1" spans="1:30" s="9" customFormat="1" ht="27.75" customHeight="1" x14ac:dyDescent="0.3">
      <c r="A1" s="9" t="s">
        <v>196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x14ac:dyDescent="0.3">
      <c r="A2" s="33" t="s">
        <v>192</v>
      </c>
    </row>
    <row r="4" spans="1:30" ht="13.5" thickBot="1" x14ac:dyDescent="0.35">
      <c r="A4" s="12" t="s">
        <v>48</v>
      </c>
      <c r="B4" s="14"/>
      <c r="C4" s="14" t="s">
        <v>168</v>
      </c>
      <c r="D4" s="14" t="s">
        <v>167</v>
      </c>
      <c r="E4" s="14" t="s">
        <v>166</v>
      </c>
      <c r="F4" s="14" t="s">
        <v>165</v>
      </c>
      <c r="G4" s="14" t="s">
        <v>122</v>
      </c>
      <c r="H4" s="14" t="s">
        <v>169</v>
      </c>
      <c r="I4" s="14" t="s">
        <v>162</v>
      </c>
      <c r="J4" s="14" t="s">
        <v>236</v>
      </c>
      <c r="K4" s="176" t="s">
        <v>249</v>
      </c>
      <c r="L4" s="176" t="s">
        <v>252</v>
      </c>
      <c r="M4" s="176" t="s">
        <v>264</v>
      </c>
      <c r="N4" s="176" t="s">
        <v>263</v>
      </c>
      <c r="O4" s="176" t="s">
        <v>266</v>
      </c>
      <c r="P4" s="14" t="s">
        <v>265</v>
      </c>
      <c r="Q4" s="14" t="s">
        <v>275</v>
      </c>
      <c r="R4" s="176" t="s">
        <v>302</v>
      </c>
      <c r="S4" s="176" t="s">
        <v>303</v>
      </c>
      <c r="T4" s="176" t="s">
        <v>307</v>
      </c>
      <c r="U4" s="176" t="s">
        <v>308</v>
      </c>
      <c r="V4" s="176" t="s">
        <v>310</v>
      </c>
      <c r="W4" s="14" t="s">
        <v>309</v>
      </c>
      <c r="X4" s="14" t="s">
        <v>324</v>
      </c>
      <c r="Y4" s="176" t="s">
        <v>333</v>
      </c>
      <c r="Z4" s="176" t="s">
        <v>334</v>
      </c>
      <c r="AA4" s="176" t="s">
        <v>336</v>
      </c>
      <c r="AB4" s="176" t="s">
        <v>337</v>
      </c>
      <c r="AC4" s="176" t="s">
        <v>339</v>
      </c>
      <c r="AD4" s="14" t="s">
        <v>338</v>
      </c>
    </row>
    <row r="5" spans="1:30" x14ac:dyDescent="0.3">
      <c r="C5" s="41" t="s">
        <v>177</v>
      </c>
      <c r="D5" s="41" t="s">
        <v>177</v>
      </c>
      <c r="E5" s="41" t="s">
        <v>178</v>
      </c>
      <c r="F5" s="41" t="s">
        <v>177</v>
      </c>
      <c r="G5" s="41" t="s">
        <v>177</v>
      </c>
      <c r="H5" s="41" t="s">
        <v>177</v>
      </c>
      <c r="I5" s="41" t="s">
        <v>177</v>
      </c>
      <c r="J5" s="41" t="s">
        <v>177</v>
      </c>
      <c r="K5" s="41" t="s">
        <v>177</v>
      </c>
      <c r="L5" s="41" t="s">
        <v>177</v>
      </c>
      <c r="M5" s="41" t="s">
        <v>177</v>
      </c>
      <c r="N5" s="41" t="s">
        <v>177</v>
      </c>
      <c r="O5" s="41" t="s">
        <v>177</v>
      </c>
      <c r="P5" s="41" t="s">
        <v>177</v>
      </c>
      <c r="Q5" s="41" t="s">
        <v>177</v>
      </c>
      <c r="R5" s="41" t="s">
        <v>177</v>
      </c>
      <c r="S5" s="41" t="s">
        <v>177</v>
      </c>
      <c r="T5" s="41" t="s">
        <v>177</v>
      </c>
      <c r="U5" s="41" t="s">
        <v>177</v>
      </c>
      <c r="V5" s="41" t="s">
        <v>177</v>
      </c>
      <c r="W5" s="41" t="s">
        <v>177</v>
      </c>
      <c r="X5" s="41" t="s">
        <v>177</v>
      </c>
      <c r="Y5" s="41" t="s">
        <v>177</v>
      </c>
      <c r="Z5" s="41" t="s">
        <v>177</v>
      </c>
      <c r="AA5" s="41" t="s">
        <v>177</v>
      </c>
      <c r="AB5" s="41" t="s">
        <v>177</v>
      </c>
      <c r="AC5" s="41" t="s">
        <v>177</v>
      </c>
      <c r="AD5" s="41" t="s">
        <v>177</v>
      </c>
    </row>
    <row r="7" spans="1:30" ht="13" x14ac:dyDescent="0.3">
      <c r="A7" s="101" t="s">
        <v>240</v>
      </c>
      <c r="B7" s="102"/>
      <c r="C7" s="218">
        <f>'Fin. Highlights - interim'!C24</f>
        <v>203.6</v>
      </c>
      <c r="D7" s="218">
        <f>'Fin. Highlights - interim'!D24</f>
        <v>209.6</v>
      </c>
      <c r="E7" s="218">
        <f>'Fin. Highlights - interim'!E24</f>
        <v>413.2</v>
      </c>
      <c r="F7" s="218">
        <f>'Fin. Highlights - interim'!F24</f>
        <v>207.49999999999994</v>
      </c>
      <c r="G7" s="218">
        <f>'Fin. Highlights - interim'!G24</f>
        <v>620.69999999999993</v>
      </c>
      <c r="H7" s="218">
        <f>'Fin. Highlights - interim'!H24</f>
        <v>223.62300000000005</v>
      </c>
      <c r="I7" s="218">
        <f>'Fin. Highlights - FY'!E24</f>
        <v>844.32299999999998</v>
      </c>
      <c r="J7" s="218">
        <f>'Fin. Highlights - interim'!J24</f>
        <v>205</v>
      </c>
      <c r="K7" s="218">
        <f>'Fin. Highlights - interim'!K24</f>
        <v>211.19999999999993</v>
      </c>
      <c r="L7" s="218">
        <f>'Fin. Highlights - interim'!L24</f>
        <v>416.19999999999993</v>
      </c>
      <c r="M7" s="218">
        <f>'Fin. Highlights - interim'!M24</f>
        <v>226.00000000000011</v>
      </c>
      <c r="N7" s="218">
        <f>'Fin. Highlights - interim'!N24</f>
        <v>642.20000000000005</v>
      </c>
      <c r="O7" s="218">
        <f>'Fin. Highlights - interim'!O24</f>
        <v>234.2</v>
      </c>
      <c r="P7" s="218">
        <f>'Fin. Highlights - interim'!P24</f>
        <v>876.4</v>
      </c>
      <c r="Q7" s="218">
        <f>'Fin. Highlights - interim'!Q24</f>
        <v>218.4</v>
      </c>
      <c r="R7" s="218">
        <f>'Fin. Highlights - interim'!R24</f>
        <v>231.70000000000002</v>
      </c>
      <c r="S7" s="218">
        <f>'Fin. Highlights - interim'!S24</f>
        <v>450.1</v>
      </c>
      <c r="T7" s="218">
        <f>'Fin. Highlights - interim'!T24</f>
        <v>250</v>
      </c>
      <c r="U7" s="218">
        <f>'Fin. Highlights - interim'!U24</f>
        <v>700.1</v>
      </c>
      <c r="V7" s="218">
        <f>'Fin. Highlights - interim'!V24</f>
        <v>254.90000000000003</v>
      </c>
      <c r="W7" s="218">
        <f>'Fin. Highlights - interim'!W24</f>
        <v>955</v>
      </c>
      <c r="X7" s="218">
        <f>'Fin. Highlights - interim'!X24</f>
        <v>219.173</v>
      </c>
      <c r="Y7" s="218">
        <f>'Fin. Highlights - interim'!Y24</f>
        <v>221.327</v>
      </c>
      <c r="Z7" s="218">
        <f>'Fin. Highlights - interim'!Z24</f>
        <v>440.5</v>
      </c>
      <c r="AA7" s="218">
        <f>'Fin. Highlights - interim'!AA24</f>
        <v>244.49999999999997</v>
      </c>
      <c r="AB7" s="218">
        <f>'Fin. Highlights - interim'!AB24</f>
        <v>685</v>
      </c>
      <c r="AC7" s="218">
        <f>'Fin. Highlights - interim'!AC24</f>
        <v>232.30000000000004</v>
      </c>
      <c r="AD7" s="218">
        <f>'Fin. Highlights - interim'!AD24</f>
        <v>917.30000000000007</v>
      </c>
    </row>
    <row r="8" spans="1:30" x14ac:dyDescent="0.3">
      <c r="C8" s="44"/>
      <c r="D8" s="219"/>
      <c r="E8" s="44"/>
      <c r="F8" s="219"/>
      <c r="G8" s="44"/>
      <c r="H8" s="219"/>
      <c r="I8" s="44"/>
      <c r="J8" s="44"/>
      <c r="K8" s="219"/>
      <c r="L8" s="44"/>
      <c r="M8" s="44"/>
      <c r="N8" s="44"/>
      <c r="O8" s="44"/>
      <c r="P8" s="44"/>
      <c r="Q8" s="44"/>
      <c r="R8" s="219"/>
      <c r="S8" s="44"/>
      <c r="T8" s="44"/>
      <c r="U8" s="44"/>
      <c r="V8" s="44"/>
      <c r="W8" s="44"/>
      <c r="X8" s="44"/>
      <c r="Y8" s="219"/>
      <c r="Z8" s="44"/>
      <c r="AA8" s="44"/>
      <c r="AB8" s="44"/>
      <c r="AC8" s="44"/>
      <c r="AD8" s="44"/>
    </row>
    <row r="9" spans="1:30" x14ac:dyDescent="0.3">
      <c r="A9" s="39" t="s">
        <v>27</v>
      </c>
      <c r="B9" s="15"/>
      <c r="C9" s="45">
        <v>16.399999999999999</v>
      </c>
      <c r="D9" s="81">
        <f>IFERROR(E9-C9,"n.a.")</f>
        <v>-1.8999999999999986</v>
      </c>
      <c r="E9" s="45">
        <v>14.5</v>
      </c>
      <c r="F9" s="81">
        <f>IFERROR(G9-E9,"n.a.")</f>
        <v>5.1999999999999993</v>
      </c>
      <c r="G9" s="45">
        <v>19.7</v>
      </c>
      <c r="H9" s="81">
        <f>IFERROR(I9-G9,"n.a.")</f>
        <v>3.5</v>
      </c>
      <c r="I9" s="56">
        <f>'Adj. EBIT bridge - FY'!F9</f>
        <v>23.2</v>
      </c>
      <c r="J9" s="45">
        <v>-8</v>
      </c>
      <c r="K9" s="81">
        <f>IFERROR(L9-J9,"n.a.")</f>
        <v>-4.5</v>
      </c>
      <c r="L9" s="45">
        <v>-12.5</v>
      </c>
      <c r="M9" s="81">
        <f>IFERROR(N9-L9,"n.a.")</f>
        <v>-16.5</v>
      </c>
      <c r="N9" s="90">
        <v>-29</v>
      </c>
      <c r="O9" s="81">
        <f>IFERROR(P9-N9,"n.a.")</f>
        <v>-39.299999999999997</v>
      </c>
      <c r="P9" s="56">
        <f>'Adj. EBIT bridge - FY'!G9</f>
        <v>-68.3</v>
      </c>
      <c r="Q9" s="45">
        <v>-37.700000000000003</v>
      </c>
      <c r="R9" s="81">
        <f>IFERROR(S9-Q9,"n.a.")</f>
        <v>-19.199999999999996</v>
      </c>
      <c r="S9" s="45">
        <v>-56.9</v>
      </c>
      <c r="T9" s="81">
        <f>IFERROR(U9-S9,"n.a.")</f>
        <v>3</v>
      </c>
      <c r="U9" s="90">
        <v>-53.9</v>
      </c>
      <c r="V9" s="81">
        <f>IFERROR(W9-U9,"n.a.")</f>
        <v>9.1000000000000014</v>
      </c>
      <c r="W9" s="56">
        <f>'Adj. EBIT bridge - FY'!H9</f>
        <v>-44.8</v>
      </c>
      <c r="X9" s="45">
        <v>-95</v>
      </c>
      <c r="Y9" s="81">
        <f>IFERROR(Z9-X9,"n.a.")</f>
        <v>-237.20000000000005</v>
      </c>
      <c r="Z9" s="45">
        <v>-332.20000000000005</v>
      </c>
      <c r="AA9" s="81">
        <f>IFERROR(AB9-Z9,"n.a.")</f>
        <v>-22.399999999999977</v>
      </c>
      <c r="AB9" s="90">
        <v>-354.6</v>
      </c>
      <c r="AC9" s="81">
        <f>IFERROR(AD9-AB9,"n.a.")</f>
        <v>4.0200000000000387</v>
      </c>
      <c r="AD9" s="56">
        <f>'Adj. EBIT bridge - FY'!I9</f>
        <v>-350.58</v>
      </c>
    </row>
    <row r="10" spans="1:30" x14ac:dyDescent="0.3">
      <c r="C10" s="205"/>
      <c r="D10" s="220"/>
      <c r="E10" s="205"/>
      <c r="F10" s="220"/>
      <c r="G10" s="205"/>
      <c r="H10" s="220"/>
      <c r="I10" s="205"/>
      <c r="J10" s="205"/>
      <c r="K10" s="220"/>
      <c r="L10" s="205"/>
      <c r="M10" s="220"/>
      <c r="N10" s="221"/>
      <c r="O10" s="221"/>
      <c r="P10" s="205"/>
      <c r="Q10" s="205"/>
      <c r="R10" s="220"/>
      <c r="S10" s="205"/>
      <c r="T10" s="220"/>
      <c r="U10" s="221"/>
      <c r="V10" s="221"/>
      <c r="W10" s="205"/>
      <c r="X10" s="205"/>
      <c r="Y10" s="220"/>
      <c r="Z10" s="205"/>
      <c r="AA10" s="220"/>
      <c r="AB10" s="221"/>
      <c r="AC10" s="221"/>
      <c r="AD10" s="205"/>
    </row>
    <row r="11" spans="1:30" x14ac:dyDescent="0.3">
      <c r="A11" s="39" t="s">
        <v>28</v>
      </c>
      <c r="B11" s="15"/>
      <c r="C11" s="45">
        <v>39.6</v>
      </c>
      <c r="D11" s="81">
        <f>IFERROR(E11-C11,"n.a.")</f>
        <v>71</v>
      </c>
      <c r="E11" s="45">
        <v>110.6</v>
      </c>
      <c r="F11" s="81">
        <f>IFERROR(G11-E11,"n.a.")</f>
        <v>90.800000000000011</v>
      </c>
      <c r="G11" s="45">
        <v>201.4</v>
      </c>
      <c r="H11" s="81">
        <f>IFERROR(I11-G11,"n.a.")</f>
        <v>76.099999999999994</v>
      </c>
      <c r="I11" s="56">
        <f>'Adj. EBIT bridge - FY'!F11</f>
        <v>277.5</v>
      </c>
      <c r="J11" s="45">
        <v>62.7</v>
      </c>
      <c r="K11" s="81">
        <f>IFERROR(L11-J11,"n.a.")</f>
        <v>50.099999999999994</v>
      </c>
      <c r="L11" s="45">
        <v>112.8</v>
      </c>
      <c r="M11" s="81">
        <f>IFERROR(N11-L11,"n.a.")</f>
        <v>47.000000000000014</v>
      </c>
      <c r="N11" s="90">
        <v>159.80000000000001</v>
      </c>
      <c r="O11" s="81">
        <f>IFERROR(P11-N11,"n.a.")</f>
        <v>78.899999999999977</v>
      </c>
      <c r="P11" s="56">
        <f>'Adj. EBIT bridge - FY'!G11</f>
        <v>238.7</v>
      </c>
      <c r="Q11" s="45">
        <v>62.7</v>
      </c>
      <c r="R11" s="81">
        <f>IFERROR(S11-Q11,"n.a.")</f>
        <v>37.899999999999991</v>
      </c>
      <c r="S11" s="45">
        <v>100.6</v>
      </c>
      <c r="T11" s="81">
        <f>IFERROR(U11-S11,"n.a.")</f>
        <v>20</v>
      </c>
      <c r="U11" s="90">
        <v>120.6</v>
      </c>
      <c r="V11" s="81">
        <f>IFERROR(W11-U11,"n.a.")</f>
        <v>2.3000000000000114</v>
      </c>
      <c r="W11" s="56">
        <f>'Adj. EBIT bridge - FY'!H11</f>
        <v>122.9</v>
      </c>
      <c r="X11" s="45">
        <v>-14.87</v>
      </c>
      <c r="Y11" s="81">
        <f>IFERROR(Z11-X11,"n.a.")</f>
        <v>21.869999999999997</v>
      </c>
      <c r="Z11" s="45">
        <v>7</v>
      </c>
      <c r="AA11" s="81">
        <f>IFERROR(AB11-Z11,"n.a.")</f>
        <v>14.399999999999999</v>
      </c>
      <c r="AB11" s="90">
        <v>21.4</v>
      </c>
      <c r="AC11" s="81">
        <f>IFERROR(AD11-AB11,"n.a.")</f>
        <v>-1.8699999999999974</v>
      </c>
      <c r="AD11" s="56">
        <f>'Adj. EBIT bridge - FY'!I11</f>
        <v>19.53</v>
      </c>
    </row>
    <row r="12" spans="1:30" x14ac:dyDescent="0.3">
      <c r="C12" s="205"/>
      <c r="D12" s="220"/>
      <c r="E12" s="205"/>
      <c r="F12" s="220"/>
      <c r="G12" s="205"/>
      <c r="H12" s="220"/>
      <c r="I12" s="205"/>
      <c r="J12" s="205"/>
      <c r="K12" s="220"/>
      <c r="L12" s="205"/>
      <c r="M12" s="220"/>
      <c r="N12" s="221"/>
      <c r="O12" s="221"/>
      <c r="P12" s="205"/>
      <c r="Q12" s="205"/>
      <c r="R12" s="220"/>
      <c r="S12" s="205"/>
      <c r="T12" s="220"/>
      <c r="U12" s="221"/>
      <c r="V12" s="221"/>
      <c r="W12" s="205"/>
      <c r="X12" s="205"/>
      <c r="Y12" s="220"/>
      <c r="Z12" s="205"/>
      <c r="AA12" s="220"/>
      <c r="AB12" s="221"/>
      <c r="AC12" s="221"/>
      <c r="AD12" s="205"/>
    </row>
    <row r="13" spans="1:30" x14ac:dyDescent="0.3">
      <c r="A13" s="39" t="s">
        <v>44</v>
      </c>
      <c r="B13" s="15"/>
      <c r="C13" s="45">
        <v>7.4</v>
      </c>
      <c r="D13" s="81">
        <f>IFERROR(E13-C13,"n.a.")</f>
        <v>17.399999999999999</v>
      </c>
      <c r="E13" s="45">
        <v>24.8</v>
      </c>
      <c r="F13" s="81">
        <f>IFERROR(G13-E13,"n.a.")</f>
        <v>9.1999999999999993</v>
      </c>
      <c r="G13" s="45">
        <v>34</v>
      </c>
      <c r="H13" s="81">
        <f>IFERROR(I13-G13,"n.a.")</f>
        <v>12.600000000000001</v>
      </c>
      <c r="I13" s="56">
        <f>'Adj. EBIT bridge - FY'!F13</f>
        <v>46.6</v>
      </c>
      <c r="J13" s="45">
        <v>9</v>
      </c>
      <c r="K13" s="81">
        <f>IFERROR(L13-J13,"n.a.")</f>
        <v>10</v>
      </c>
      <c r="L13" s="45">
        <v>19</v>
      </c>
      <c r="M13" s="81">
        <f>IFERROR(N13-L13,"n.a.")</f>
        <v>23.6</v>
      </c>
      <c r="N13" s="90">
        <v>42.6</v>
      </c>
      <c r="O13" s="81">
        <f>IFERROR(P13-N13,"n.a.")</f>
        <v>27.499999999999993</v>
      </c>
      <c r="P13" s="56">
        <f>'Adj. EBIT bridge - FY'!G13</f>
        <v>70.099999999999994</v>
      </c>
      <c r="Q13" s="45">
        <v>16.399999999999999</v>
      </c>
      <c r="R13" s="81">
        <f>IFERROR(S13-Q13,"n.a.")</f>
        <v>19.700000000000003</v>
      </c>
      <c r="S13" s="45">
        <v>36.1</v>
      </c>
      <c r="T13" s="81">
        <f>IFERROR(U13-S13,"n.a.")</f>
        <v>20</v>
      </c>
      <c r="U13" s="90">
        <v>56.1</v>
      </c>
      <c r="V13" s="81">
        <f>IFERROR(W13-U13,"n.a.")</f>
        <v>13.899999999999999</v>
      </c>
      <c r="W13" s="56">
        <f>'Adj. EBIT bridge - FY'!H13</f>
        <v>70</v>
      </c>
      <c r="X13" s="45">
        <v>31.22</v>
      </c>
      <c r="Y13" s="81">
        <f>IFERROR(Z13-X13,"n.a.")</f>
        <v>32.58</v>
      </c>
      <c r="Z13" s="45">
        <v>63.8</v>
      </c>
      <c r="AA13" s="81">
        <f>IFERROR(AB13-Z13,"n.a.")</f>
        <v>45</v>
      </c>
      <c r="AB13" s="90">
        <v>108.8</v>
      </c>
      <c r="AC13" s="81">
        <f>IFERROR(AD13-AB13,"n.a.")</f>
        <v>50.8</v>
      </c>
      <c r="AD13" s="56">
        <f>'Adj. EBIT bridge - FY'!I13</f>
        <v>159.6</v>
      </c>
    </row>
    <row r="14" spans="1:30" x14ac:dyDescent="0.3">
      <c r="C14" s="44"/>
      <c r="D14" s="219"/>
      <c r="E14" s="44"/>
      <c r="F14" s="219"/>
      <c r="G14" s="44"/>
      <c r="H14" s="219"/>
      <c r="I14" s="44"/>
      <c r="J14" s="44"/>
      <c r="K14" s="219"/>
      <c r="L14" s="44"/>
      <c r="M14" s="219"/>
      <c r="N14" s="123"/>
      <c r="O14" s="123"/>
      <c r="P14" s="44"/>
      <c r="Q14" s="44"/>
      <c r="R14" s="219"/>
      <c r="S14" s="44"/>
      <c r="T14" s="219"/>
      <c r="U14" s="123"/>
      <c r="V14" s="123"/>
      <c r="W14" s="44"/>
      <c r="X14" s="44"/>
      <c r="Y14" s="219"/>
      <c r="Z14" s="44"/>
      <c r="AA14" s="219"/>
      <c r="AB14" s="123"/>
      <c r="AC14" s="123"/>
      <c r="AD14" s="44"/>
    </row>
    <row r="15" spans="1:30" x14ac:dyDescent="0.3">
      <c r="A15" s="39" t="s">
        <v>32</v>
      </c>
      <c r="B15" s="15"/>
      <c r="C15" s="56">
        <f>IFERROR('Fin. Highlights - interim'!J22-'Fin. Highlights - interim'!C22,"n.a.")</f>
        <v>-14.5</v>
      </c>
      <c r="D15" s="81">
        <f>IFERROR(E15-C15,"n.a.")</f>
        <v>-12.3</v>
      </c>
      <c r="E15" s="56">
        <f>IFERROR('Fin. Highlights - interim'!L22-'Fin. Highlights - interim'!E22,"n.a.")</f>
        <v>-26.8</v>
      </c>
      <c r="F15" s="81">
        <f>IFERROR(G15-E15,"n.a.")</f>
        <v>-12.2</v>
      </c>
      <c r="G15" s="56">
        <f>IFERROR('Fin. Highlights - interim'!N22-'Fin. Highlights - interim'!G22,"n.a.")</f>
        <v>-39</v>
      </c>
      <c r="H15" s="81">
        <f>IFERROR(I15-G15,"n.a.")</f>
        <v>-11.200000000000003</v>
      </c>
      <c r="I15" s="56">
        <f>IFERROR('Fin. Highlights - interim'!P22-'Fin. Highlights - interim'!I22,"n.a.")</f>
        <v>-50.2</v>
      </c>
      <c r="J15" s="56">
        <f>IFERROR('Fin. Highlights - interim'!Q22-'Fin. Highlights - interim'!J22,"n.a.")</f>
        <v>3.5</v>
      </c>
      <c r="K15" s="81">
        <f>IFERROR(L15-J15,"n.a.")</f>
        <v>0.10000000000001208</v>
      </c>
      <c r="L15" s="56">
        <f>IFERROR('Fin. Highlights - interim'!S22-'Fin. Highlights - interim'!L22,"n.a.")</f>
        <v>3.6000000000000121</v>
      </c>
      <c r="M15" s="81">
        <f>IFERROR(N15-L15,"n.a.")</f>
        <v>3.3999999999999879</v>
      </c>
      <c r="N15" s="119">
        <f>IFERROR('Fin. Highlights - interim'!U22-'Fin. Highlights - interim'!N22,"n.a.")</f>
        <v>7</v>
      </c>
      <c r="O15" s="81">
        <f>IFERROR(P15-N15,"n.a.")</f>
        <v>-4.5</v>
      </c>
      <c r="P15" s="56">
        <f>IFERROR('Fin. Highlights - interim'!W22-'Fin. Highlights - interim'!P22,"n.a.")</f>
        <v>2.5</v>
      </c>
      <c r="Q15" s="56">
        <f>IFERROR('Fin. Highlights - interim'!X22-'Fin. Highlights - interim'!Q22,"n.a.")</f>
        <v>-0.5</v>
      </c>
      <c r="R15" s="81">
        <f>IFERROR(S15-Q15,"n.a.")</f>
        <v>1.8000000000000114</v>
      </c>
      <c r="S15" s="56">
        <f>IFERROR('Fin. Highlights - interim'!Z22-'Fin. Highlights - interim'!S22,"n.a.")</f>
        <v>1.3000000000000114</v>
      </c>
      <c r="T15" s="81">
        <f>IFERROR(U15-S15,"n.a.")</f>
        <v>1.2999999999999901</v>
      </c>
      <c r="U15" s="119">
        <f>IFERROR('Fin. Highlights - interim'!AB22-'Fin. Highlights - interim'!U22,"n.a.")</f>
        <v>2.6000000000000014</v>
      </c>
      <c r="V15" s="81">
        <f>IFERROR(W15-U15,"n.a.")</f>
        <v>3.8000000000000043</v>
      </c>
      <c r="W15" s="56">
        <f>IFERROR('Fin. Highlights - interim'!AD22-'Fin. Highlights - interim'!W22,"n.a.")</f>
        <v>6.4000000000000057</v>
      </c>
      <c r="X15" s="56"/>
      <c r="Y15" s="81"/>
      <c r="Z15" s="56"/>
      <c r="AA15" s="81"/>
      <c r="AB15" s="119"/>
      <c r="AC15" s="81"/>
      <c r="AD15" s="56"/>
    </row>
    <row r="16" spans="1:30" x14ac:dyDescent="0.3">
      <c r="C16" s="205"/>
      <c r="D16" s="220"/>
      <c r="E16" s="205"/>
      <c r="F16" s="220"/>
      <c r="G16" s="205"/>
      <c r="H16" s="220"/>
      <c r="I16" s="205"/>
      <c r="J16" s="205"/>
      <c r="K16" s="220"/>
      <c r="L16" s="205"/>
      <c r="M16" s="221"/>
      <c r="N16" s="221"/>
      <c r="O16" s="221"/>
      <c r="P16" s="205"/>
      <c r="Q16" s="205"/>
      <c r="R16" s="220"/>
      <c r="S16" s="205"/>
      <c r="T16" s="221"/>
      <c r="U16" s="221"/>
      <c r="V16" s="221"/>
      <c r="W16" s="205"/>
      <c r="X16" s="205"/>
      <c r="Y16" s="220"/>
      <c r="Z16" s="205"/>
      <c r="AA16" s="221"/>
      <c r="AB16" s="221"/>
      <c r="AC16" s="221"/>
      <c r="AD16" s="205"/>
    </row>
    <row r="17" spans="1:30" x14ac:dyDescent="0.3">
      <c r="A17" s="39" t="s">
        <v>47</v>
      </c>
      <c r="B17" s="15"/>
      <c r="C17" s="45">
        <v>-23.6</v>
      </c>
      <c r="D17" s="81">
        <f>IFERROR(E17-C17,"n.a.")</f>
        <v>5.3000000000000078</v>
      </c>
      <c r="E17" s="45">
        <v>-18.299999999999994</v>
      </c>
      <c r="F17" s="81">
        <f>IFERROR(G17-E17,"n.a.")</f>
        <v>-12.400000000000006</v>
      </c>
      <c r="G17" s="45">
        <v>-30.7</v>
      </c>
      <c r="H17" s="81">
        <f>IFERROR(I17-G17,"n.a.")</f>
        <v>-9.1999999999999922</v>
      </c>
      <c r="I17" s="56">
        <f>'Adj. EBIT bridge - FY'!F17</f>
        <v>-39.899999999999991</v>
      </c>
      <c r="J17" s="45">
        <v>-21.4</v>
      </c>
      <c r="K17" s="81">
        <f>IFERROR(L17-J17,"n.a.")</f>
        <v>-15.899999999999999</v>
      </c>
      <c r="L17" s="45">
        <v>-37.299999999999997</v>
      </c>
      <c r="M17" s="81">
        <f>IFERROR(N17-L17,"n.a.")</f>
        <v>4.7999999999999972</v>
      </c>
      <c r="N17" s="90">
        <v>-32.5</v>
      </c>
      <c r="O17" s="81">
        <f>IFERROR(P17-N17,"n.a.")</f>
        <v>11.8</v>
      </c>
      <c r="P17" s="56">
        <f>'Adj. EBIT bridge - FY'!G17</f>
        <v>-20.7</v>
      </c>
      <c r="Q17" s="45">
        <v>3.9</v>
      </c>
      <c r="R17" s="81">
        <f>IFERROR(S17-Q17,"n.a.")</f>
        <v>3.4999999999999987</v>
      </c>
      <c r="S17" s="45">
        <v>7.3999999999999986</v>
      </c>
      <c r="T17" s="81">
        <f>IFERROR(U17-S17,"n.a.")</f>
        <v>-26.799999999999997</v>
      </c>
      <c r="U17" s="45">
        <v>-19.399999999999999</v>
      </c>
      <c r="V17" s="81">
        <f>IFERROR(W17-U17,"n.a.")</f>
        <v>-31.300000000000004</v>
      </c>
      <c r="W17" s="56">
        <f>'Adj. EBIT bridge - FY'!H17</f>
        <v>-50.7</v>
      </c>
      <c r="X17" s="45">
        <v>20.2</v>
      </c>
      <c r="Y17" s="81">
        <f>IFERROR(Z17-X17,"n.a.")</f>
        <v>-78.5</v>
      </c>
      <c r="Z17" s="45">
        <v>-58.3</v>
      </c>
      <c r="AA17" s="81">
        <f>IFERROR(AB17-Z17,"n.a.")</f>
        <v>-30.900000000000006</v>
      </c>
      <c r="AB17" s="45">
        <v>-89.2</v>
      </c>
      <c r="AC17" s="81">
        <f>IFERROR(AD17-AB17,"n.a.")</f>
        <v>-25.299999999999997</v>
      </c>
      <c r="AD17" s="56">
        <f>'Adj. EBIT bridge - FY'!I17</f>
        <v>-114.5</v>
      </c>
    </row>
    <row r="18" spans="1:30" x14ac:dyDescent="0.3">
      <c r="C18" s="205"/>
      <c r="D18" s="220"/>
      <c r="E18" s="205"/>
      <c r="F18" s="220"/>
      <c r="G18" s="205"/>
      <c r="H18" s="220"/>
      <c r="I18" s="205"/>
      <c r="J18" s="205"/>
      <c r="K18" s="220"/>
      <c r="L18" s="205"/>
      <c r="M18" s="220"/>
      <c r="N18" s="221"/>
      <c r="O18" s="221"/>
      <c r="P18" s="205"/>
      <c r="Q18" s="205"/>
      <c r="R18" s="220"/>
      <c r="S18" s="205"/>
      <c r="T18" s="220"/>
      <c r="U18" s="221"/>
      <c r="V18" s="221"/>
      <c r="W18" s="205"/>
      <c r="X18" s="205"/>
      <c r="Y18" s="220"/>
      <c r="Z18" s="205"/>
      <c r="AA18" s="220"/>
      <c r="AB18" s="221"/>
      <c r="AC18" s="221"/>
      <c r="AD18" s="205"/>
    </row>
    <row r="19" spans="1:30" x14ac:dyDescent="0.3">
      <c r="A19" s="39" t="s">
        <v>43</v>
      </c>
      <c r="B19" s="15"/>
      <c r="C19" s="45">
        <v>-17.5</v>
      </c>
      <c r="D19" s="81">
        <f>IFERROR(E19-C19,"n.a.")</f>
        <v>-63.099999999999994</v>
      </c>
      <c r="E19" s="45">
        <v>-80.599999999999994</v>
      </c>
      <c r="F19" s="81">
        <f>IFERROR(G19-E19,"n.a.")</f>
        <v>-51</v>
      </c>
      <c r="G19" s="45">
        <v>-131.6</v>
      </c>
      <c r="H19" s="81">
        <f>IFERROR(I19-G19,"n.a.")</f>
        <v>-33.200000000000017</v>
      </c>
      <c r="I19" s="56">
        <f>'Adj. EBIT bridge - FY'!F19</f>
        <v>-164.8</v>
      </c>
      <c r="J19" s="45">
        <v>-13.8</v>
      </c>
      <c r="K19" s="81">
        <f>IFERROR(L19-J19,"n.a.")</f>
        <v>2.3000000000000007</v>
      </c>
      <c r="L19" s="45">
        <v>-11.5</v>
      </c>
      <c r="M19" s="81">
        <f>IFERROR(N19-L19,"n.a.")</f>
        <v>-12.7</v>
      </c>
      <c r="N19" s="90">
        <v>-24.2</v>
      </c>
      <c r="O19" s="81">
        <f>IFERROR(P19-N19,"n.a.")</f>
        <v>-27.8</v>
      </c>
      <c r="P19" s="56">
        <f>'Adj. EBIT bridge - FY'!G19</f>
        <v>-52</v>
      </c>
      <c r="Q19" s="45">
        <v>-27</v>
      </c>
      <c r="R19" s="81">
        <f>IFERROR(S19-Q19,"n.a.")</f>
        <v>-31.5</v>
      </c>
      <c r="S19" s="45">
        <v>-58.5</v>
      </c>
      <c r="T19" s="81">
        <f>IFERROR(U19-S19,"n.a.")</f>
        <v>-9.0999999999999943</v>
      </c>
      <c r="U19" s="90">
        <v>-67.599999999999994</v>
      </c>
      <c r="V19" s="81">
        <f>IFERROR(W19-U19,"n.a.")</f>
        <v>0.89999999999999147</v>
      </c>
      <c r="W19" s="56">
        <f>'Adj. EBIT bridge - FY'!H19</f>
        <v>-66.7</v>
      </c>
      <c r="X19" s="45">
        <v>-3.26</v>
      </c>
      <c r="Y19" s="81">
        <f>IFERROR(Z19-X19,"n.a.")</f>
        <v>-11.540000000000001</v>
      </c>
      <c r="Z19" s="45">
        <v>-14.8</v>
      </c>
      <c r="AA19" s="81">
        <f>IFERROR(AB19-Z19,"n.a.")</f>
        <v>-5</v>
      </c>
      <c r="AB19" s="90">
        <v>-19.8</v>
      </c>
      <c r="AC19" s="81">
        <f>IFERROR(AD19-AB19,"n.a.")</f>
        <v>-0.19999999999999929</v>
      </c>
      <c r="AD19" s="56">
        <f>'Adj. EBIT bridge - FY'!I19</f>
        <v>-20</v>
      </c>
    </row>
    <row r="20" spans="1:30" x14ac:dyDescent="0.3">
      <c r="C20" s="205"/>
      <c r="D20" s="220"/>
      <c r="E20" s="205"/>
      <c r="F20" s="220"/>
      <c r="G20" s="205"/>
      <c r="H20" s="220"/>
      <c r="I20" s="205"/>
      <c r="J20" s="205"/>
      <c r="K20" s="220"/>
      <c r="L20" s="205"/>
      <c r="M20" s="220"/>
      <c r="N20" s="221"/>
      <c r="O20" s="221"/>
      <c r="P20" s="205"/>
      <c r="Q20" s="205"/>
      <c r="R20" s="220"/>
      <c r="S20" s="205"/>
      <c r="T20" s="220"/>
      <c r="U20" s="221"/>
      <c r="V20" s="221"/>
      <c r="W20" s="205"/>
      <c r="X20" s="205"/>
      <c r="Y20" s="220"/>
      <c r="Z20" s="205"/>
      <c r="AA20" s="220"/>
      <c r="AB20" s="221"/>
      <c r="AC20" s="221"/>
      <c r="AD20" s="205"/>
    </row>
    <row r="21" spans="1:30" x14ac:dyDescent="0.3">
      <c r="A21" s="39" t="s">
        <v>45</v>
      </c>
      <c r="B21" s="15"/>
      <c r="C21" s="45">
        <v>-10.1</v>
      </c>
      <c r="D21" s="81">
        <f>IFERROR(E21-C21,"n.a.")</f>
        <v>-12.9</v>
      </c>
      <c r="E21" s="45">
        <v>-23</v>
      </c>
      <c r="F21" s="81">
        <f>IFERROR(G21-E21,"n.a.")</f>
        <v>-11.399999999999999</v>
      </c>
      <c r="G21" s="45">
        <v>-34.4</v>
      </c>
      <c r="H21" s="81">
        <f>IFERROR(I21-G21,"n.a.")</f>
        <v>-19.200000000000003</v>
      </c>
      <c r="I21" s="56">
        <f>'Adj. EBIT bridge - FY'!F21</f>
        <v>-53.6</v>
      </c>
      <c r="J21" s="45">
        <v>-11.4</v>
      </c>
      <c r="K21" s="81">
        <f>IFERROR(L21-J21,"n.a.")</f>
        <v>-11.9</v>
      </c>
      <c r="L21" s="45">
        <v>-23.3</v>
      </c>
      <c r="M21" s="81">
        <f>IFERROR(N21-L21,"n.a.")</f>
        <v>-14.099999999999998</v>
      </c>
      <c r="N21" s="90">
        <v>-37.4</v>
      </c>
      <c r="O21" s="81">
        <f>IFERROR(P21-N21,"n.a.")</f>
        <v>-10.899999999999999</v>
      </c>
      <c r="P21" s="56">
        <f>'Adj. EBIT bridge - FY'!G21</f>
        <v>-48.3</v>
      </c>
      <c r="Q21" s="45">
        <v>-14.9</v>
      </c>
      <c r="R21" s="81">
        <f>IFERROR(S21-Q21,"n.a.")</f>
        <v>-20</v>
      </c>
      <c r="S21" s="45">
        <v>-34.9</v>
      </c>
      <c r="T21" s="81">
        <f>IFERROR(U21-S21,"n.a.")</f>
        <v>-20</v>
      </c>
      <c r="U21" s="90">
        <v>-54.9</v>
      </c>
      <c r="V21" s="81">
        <f>IFERROR(W21-U21,"n.a.")</f>
        <v>-21.699999999999996</v>
      </c>
      <c r="W21" s="56">
        <f>'Adj. EBIT bridge - FY'!H21</f>
        <v>-76.599999999999994</v>
      </c>
      <c r="X21" s="45">
        <v>-15.2</v>
      </c>
      <c r="Y21" s="81">
        <f>IFERROR(Z21-X21,"n.a.")</f>
        <v>-7.6000000000000014</v>
      </c>
      <c r="Z21" s="45">
        <v>-22.8</v>
      </c>
      <c r="AA21" s="81">
        <f>IFERROR(AB21-Z21,"n.a.")</f>
        <v>-13.499999999999996</v>
      </c>
      <c r="AB21" s="90">
        <v>-36.299999999999997</v>
      </c>
      <c r="AC21" s="81">
        <f>IFERROR(AD21-AB21,"n.a.")</f>
        <v>-13.700000000000003</v>
      </c>
      <c r="AD21" s="56">
        <f>'Adj. EBIT bridge - FY'!I21</f>
        <v>-50</v>
      </c>
    </row>
    <row r="22" spans="1:30" x14ac:dyDescent="0.3">
      <c r="C22" s="205"/>
      <c r="D22" s="220"/>
      <c r="E22" s="205"/>
      <c r="F22" s="220"/>
      <c r="G22" s="205"/>
      <c r="H22" s="220"/>
      <c r="I22" s="205"/>
      <c r="J22" s="205"/>
      <c r="K22" s="220"/>
      <c r="L22" s="205"/>
      <c r="M22" s="220"/>
      <c r="N22" s="221"/>
      <c r="O22" s="221"/>
      <c r="P22" s="205"/>
      <c r="Q22" s="205"/>
      <c r="R22" s="220"/>
      <c r="S22" s="205"/>
      <c r="T22" s="220"/>
      <c r="U22" s="221"/>
      <c r="V22" s="221"/>
      <c r="W22" s="205"/>
      <c r="X22" s="205"/>
      <c r="Y22" s="220"/>
      <c r="Z22" s="205"/>
      <c r="AA22" s="220"/>
      <c r="AB22" s="221"/>
      <c r="AC22" s="221"/>
      <c r="AD22" s="205"/>
    </row>
    <row r="23" spans="1:30" x14ac:dyDescent="0.3">
      <c r="A23" s="39" t="s">
        <v>46</v>
      </c>
      <c r="B23" s="15"/>
      <c r="C23" s="45">
        <v>3.7</v>
      </c>
      <c r="D23" s="81">
        <f>IFERROR(E23-C23,"n.a.")</f>
        <v>-1.9000000000000001</v>
      </c>
      <c r="E23" s="45">
        <v>1.8</v>
      </c>
      <c r="F23" s="81">
        <f>IFERROR(G23-E23,"n.a.")</f>
        <v>0.30000000000000004</v>
      </c>
      <c r="G23" s="45">
        <v>2.1</v>
      </c>
      <c r="H23" s="81">
        <f>IFERROR(I23-G23,"n.a.")</f>
        <v>-8.8000000000000007</v>
      </c>
      <c r="I23" s="56">
        <f>'Adj. EBIT bridge - FY'!F23</f>
        <v>-6.7</v>
      </c>
      <c r="J23" s="45">
        <v>-7.2</v>
      </c>
      <c r="K23" s="81">
        <f>IFERROR(L23-J23,"n.a.")</f>
        <v>-9.6999999999999993</v>
      </c>
      <c r="L23" s="45">
        <v>-16.899999999999999</v>
      </c>
      <c r="M23" s="81">
        <f>IFERROR(N23-L23,"n.a.")</f>
        <v>-11.5</v>
      </c>
      <c r="N23" s="90">
        <v>-28.4</v>
      </c>
      <c r="O23" s="81">
        <f>IFERROR(P23-N23,"n.a.")</f>
        <v>-14.978778255913291</v>
      </c>
      <c r="P23" s="56">
        <f>'Adj. EBIT bridge - FY'!G23</f>
        <v>-43.378778255913289</v>
      </c>
      <c r="Q23" s="45">
        <v>-2.1</v>
      </c>
      <c r="R23" s="81">
        <f>IFERROR(S23-Q23,"n.a.")</f>
        <v>-2.6</v>
      </c>
      <c r="S23" s="45">
        <v>-4.7</v>
      </c>
      <c r="T23" s="81">
        <f>IFERROR(U23-S23,"n.a.")</f>
        <v>6.1</v>
      </c>
      <c r="U23" s="90">
        <v>1.4</v>
      </c>
      <c r="V23" s="81">
        <f>IFERROR(W23-U23,"n.a.")</f>
        <v>0.40000000000000013</v>
      </c>
      <c r="W23" s="56">
        <f>'Adj. EBIT bridge - FY'!H23</f>
        <v>1.8</v>
      </c>
      <c r="X23" s="45">
        <v>-1.2</v>
      </c>
      <c r="Y23" s="81">
        <f>IFERROR(Z23-X23,"n.a.")</f>
        <v>-15.3</v>
      </c>
      <c r="Z23" s="45">
        <v>-16.5</v>
      </c>
      <c r="AA23" s="81">
        <f>IFERROR(AB23-Z23,"n.a.")</f>
        <v>-18.399999999999999</v>
      </c>
      <c r="AB23" s="90">
        <v>-34.9</v>
      </c>
      <c r="AC23" s="81">
        <f>IFERROR(AD23-AB23,"n.a.")</f>
        <v>-25.200000000000003</v>
      </c>
      <c r="AD23" s="56">
        <f>'Adj. EBIT bridge - FY'!I23</f>
        <v>-60.1</v>
      </c>
    </row>
    <row r="24" spans="1:30" x14ac:dyDescent="0.3">
      <c r="C24" s="44"/>
      <c r="D24" s="219"/>
      <c r="E24" s="44"/>
      <c r="F24" s="219"/>
      <c r="G24" s="44"/>
      <c r="H24" s="219"/>
      <c r="I24" s="44"/>
      <c r="J24" s="44"/>
      <c r="K24" s="219"/>
      <c r="L24" s="44"/>
      <c r="M24" s="44"/>
      <c r="N24" s="44"/>
      <c r="O24" s="44"/>
      <c r="P24" s="44"/>
      <c r="Q24" s="44"/>
      <c r="R24" s="219"/>
      <c r="S24" s="44"/>
      <c r="T24" s="44"/>
      <c r="U24" s="44"/>
      <c r="V24" s="44"/>
      <c r="W24" s="44"/>
      <c r="X24" s="44"/>
      <c r="Y24" s="219"/>
      <c r="Z24" s="44"/>
      <c r="AA24" s="44"/>
      <c r="AB24" s="44"/>
      <c r="AC24" s="44"/>
      <c r="AD24" s="44"/>
    </row>
    <row r="25" spans="1:30" ht="13" x14ac:dyDescent="0.3">
      <c r="A25" s="38" t="s">
        <v>239</v>
      </c>
      <c r="B25" s="38"/>
      <c r="C25" s="122">
        <f t="shared" ref="C25:J25" si="0">IFERROR(C7+C9+C11+C13+C15+C17+C19+C21+C23,"n.a.")</f>
        <v>205</v>
      </c>
      <c r="D25" s="122">
        <f t="shared" si="0"/>
        <v>211.19999999999996</v>
      </c>
      <c r="E25" s="122">
        <f t="shared" si="0"/>
        <v>416.2</v>
      </c>
      <c r="F25" s="122">
        <f t="shared" si="0"/>
        <v>225.99999999999991</v>
      </c>
      <c r="G25" s="122">
        <f t="shared" si="0"/>
        <v>642.19999999999993</v>
      </c>
      <c r="H25" s="122">
        <f t="shared" si="0"/>
        <v>234.22300000000007</v>
      </c>
      <c r="I25" s="122">
        <f t="shared" si="0"/>
        <v>876.42299999999989</v>
      </c>
      <c r="J25" s="122">
        <f t="shared" si="0"/>
        <v>218.39999999999998</v>
      </c>
      <c r="K25" s="122">
        <f>IFERROR(K7+K9+K11+K13+K15+K17+K19+K21+K23,"n.a.")</f>
        <v>231.7</v>
      </c>
      <c r="L25" s="122">
        <f t="shared" ref="L25:S25" si="1">IFERROR(L7+L9+L11+L13+L15+L17+L19+L21+L23,"n.a.")</f>
        <v>450.09999999999991</v>
      </c>
      <c r="M25" s="122">
        <f t="shared" si="1"/>
        <v>250.00000000000011</v>
      </c>
      <c r="N25" s="122">
        <f t="shared" si="1"/>
        <v>700.1</v>
      </c>
      <c r="O25" s="122">
        <f t="shared" si="1"/>
        <v>254.92122174408669</v>
      </c>
      <c r="P25" s="122">
        <f t="shared" si="1"/>
        <v>955.02122174408657</v>
      </c>
      <c r="Q25" s="122">
        <f t="shared" si="1"/>
        <v>219.19999999999993</v>
      </c>
      <c r="R25" s="122">
        <f t="shared" si="1"/>
        <v>221.30000000000004</v>
      </c>
      <c r="S25" s="122">
        <f t="shared" si="1"/>
        <v>440.50000000000006</v>
      </c>
      <c r="T25" s="122">
        <f t="shared" ref="T25:V25" si="2">IFERROR(T7+T9+T11+T13+T15+T17+T19+T21+T23,"n.a.")</f>
        <v>244.49999999999997</v>
      </c>
      <c r="U25" s="122">
        <f t="shared" si="2"/>
        <v>685.00000000000011</v>
      </c>
      <c r="V25" s="122">
        <f t="shared" si="2"/>
        <v>232.30000000000004</v>
      </c>
      <c r="W25" s="122">
        <f t="shared" ref="W25" si="3">IFERROR(W7+W9+W11+W13+W15+W17+W19+W21+W23,"n.a.")</f>
        <v>917.30000000000007</v>
      </c>
      <c r="X25" s="122">
        <f>IFERROR(X7+X9+X11+X13+X15+X17+X19+X21+X23,"n.a.")</f>
        <v>141.06300000000002</v>
      </c>
      <c r="Y25" s="122">
        <f>IFERROR(Y7+Y9+Y11+Y13+Y15+Y17+Y19+Y21+Y23,"n.a.")</f>
        <v>-74.363000000000056</v>
      </c>
      <c r="Z25" s="122">
        <f t="shared" ref="Z25:AD25" si="4">IFERROR(Z7+Z9+Z11+Z13+Z15+Z17+Z19+Z21+Z23,"n.a.")</f>
        <v>66.699999999999974</v>
      </c>
      <c r="AA25" s="122">
        <f t="shared" si="4"/>
        <v>213.7</v>
      </c>
      <c r="AB25" s="122">
        <f t="shared" si="4"/>
        <v>280.39999999999998</v>
      </c>
      <c r="AC25" s="122">
        <f>IFERROR(AC7+AC9+AC11+AC13+AC15+AC17+AC19+AC21+AC23-0.1,"n.a.")</f>
        <v>220.75000000000009</v>
      </c>
      <c r="AD25" s="122">
        <f t="shared" si="4"/>
        <v>501.25</v>
      </c>
    </row>
  </sheetData>
  <pageMargins left="0" right="0" top="0" bottom="0" header="0" footer="0"/>
  <pageSetup paperSize="9" scale="80" orientation="landscape" r:id="rId1"/>
  <ignoredErrors>
    <ignoredError sqref="E24:J24 AE25 AE15:AE24 E15:E23 I16:J23 G15:G23 S15 U15 L15 N15 AC25"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122"/>
  <sheetViews>
    <sheetView showGridLines="0" zoomScale="90" zoomScaleNormal="90" zoomScaleSheetLayoutView="100" workbookViewId="0">
      <pane xSplit="2" ySplit="6" topLeftCell="C7" activePane="bottomRight" state="frozen"/>
      <selection activeCell="L10" sqref="L10"/>
      <selection pane="topRight" activeCell="L10" sqref="L10"/>
      <selection pane="bottomLeft" activeCell="L10" sqref="L10"/>
      <selection pane="bottomRight"/>
    </sheetView>
  </sheetViews>
  <sheetFormatPr defaultColWidth="9" defaultRowHeight="12.5" outlineLevelRow="2" outlineLevelCol="1" x14ac:dyDescent="0.3"/>
  <cols>
    <col min="1" max="1" width="60.58203125" style="2" customWidth="1"/>
    <col min="2" max="2" width="4.58203125" style="2" customWidth="1"/>
    <col min="3" max="3" width="12.58203125" style="41" hidden="1" customWidth="1" outlineLevel="1"/>
    <col min="4" max="4" width="12.58203125" style="41" customWidth="1" collapsed="1"/>
    <col min="5" max="10" width="12.58203125" style="41" customWidth="1"/>
    <col min="11" max="11" width="2.58203125" style="2" customWidth="1"/>
    <col min="12" max="16384" width="9" style="2"/>
  </cols>
  <sheetData>
    <row r="1" spans="1:10" s="9" customFormat="1" ht="27.75" customHeight="1" x14ac:dyDescent="0.3">
      <c r="A1" s="9" t="s">
        <v>144</v>
      </c>
      <c r="C1" s="10"/>
      <c r="D1" s="10"/>
      <c r="E1" s="10"/>
      <c r="F1" s="10"/>
      <c r="G1" s="10"/>
      <c r="H1" s="10"/>
      <c r="I1" s="10"/>
      <c r="J1" s="10"/>
    </row>
    <row r="2" spans="1:10" x14ac:dyDescent="0.3">
      <c r="A2" s="33" t="s">
        <v>192</v>
      </c>
      <c r="B2" s="33"/>
    </row>
    <row r="4" spans="1:10" ht="13.5" thickBot="1" x14ac:dyDescent="0.35">
      <c r="A4" s="12" t="s">
        <v>120</v>
      </c>
      <c r="B4" s="12"/>
      <c r="C4" s="14" t="s">
        <v>24</v>
      </c>
      <c r="D4" s="14" t="s">
        <v>25</v>
      </c>
      <c r="E4" s="14" t="s">
        <v>26</v>
      </c>
      <c r="F4" s="14" t="s">
        <v>26</v>
      </c>
      <c r="G4" s="14" t="s">
        <v>162</v>
      </c>
      <c r="H4" s="14" t="s">
        <v>265</v>
      </c>
      <c r="I4" s="14" t="s">
        <v>309</v>
      </c>
      <c r="J4" s="14" t="s">
        <v>338</v>
      </c>
    </row>
    <row r="5" spans="1:10" x14ac:dyDescent="0.3">
      <c r="C5" s="41" t="s">
        <v>178</v>
      </c>
      <c r="D5" s="41" t="s">
        <v>178</v>
      </c>
      <c r="E5" s="41" t="s">
        <v>178</v>
      </c>
      <c r="F5" s="41" t="s">
        <v>191</v>
      </c>
      <c r="G5" s="41" t="s">
        <v>177</v>
      </c>
      <c r="H5" s="41" t="s">
        <v>177</v>
      </c>
      <c r="I5" s="41" t="s">
        <v>177</v>
      </c>
      <c r="J5" s="41" t="s">
        <v>177</v>
      </c>
    </row>
    <row r="7" spans="1:10" x14ac:dyDescent="0.3">
      <c r="A7" s="165" t="s">
        <v>201</v>
      </c>
      <c r="B7" s="37"/>
      <c r="C7" s="81">
        <f>IFERROR(C76/C104,"n.a.")</f>
        <v>1.3119117389028412</v>
      </c>
      <c r="D7" s="81">
        <f t="shared" ref="D7:H7" si="0">IFERROR(D76/D104,"n.a.")</f>
        <v>1.0179470924585985</v>
      </c>
      <c r="E7" s="81">
        <f t="shared" si="0"/>
        <v>1.3714328195509495</v>
      </c>
      <c r="F7" s="81">
        <f t="shared" si="0"/>
        <v>1.201397856341732</v>
      </c>
      <c r="G7" s="81">
        <f t="shared" si="0"/>
        <v>1.102454312795166</v>
      </c>
      <c r="H7" s="81">
        <f t="shared" si="0"/>
        <v>1.2199282774955671</v>
      </c>
      <c r="I7" s="81">
        <f t="shared" ref="I7:J7" si="1">IFERROR(I76/I104,"n.a.")</f>
        <v>1.0879781871025251</v>
      </c>
      <c r="J7" s="81">
        <f t="shared" si="1"/>
        <v>1.5730307526745033</v>
      </c>
    </row>
    <row r="8" spans="1:10" x14ac:dyDescent="0.3">
      <c r="A8" s="166" t="s">
        <v>202</v>
      </c>
      <c r="B8" s="18"/>
      <c r="C8" s="84">
        <f>IFERROR((C76-C64)/C104,"n.a.")</f>
        <v>0.89855553573589719</v>
      </c>
      <c r="D8" s="84">
        <f t="shared" ref="D8:H8" si="2">IFERROR((D76-D64)/D104,"n.a.")</f>
        <v>0.68669840015739225</v>
      </c>
      <c r="E8" s="84">
        <f t="shared" si="2"/>
        <v>1.0239878635459929</v>
      </c>
      <c r="F8" s="84">
        <f t="shared" si="2"/>
        <v>0.856817324226681</v>
      </c>
      <c r="G8" s="84">
        <f t="shared" si="2"/>
        <v>0.77922558538449249</v>
      </c>
      <c r="H8" s="84">
        <f t="shared" si="2"/>
        <v>0.84452749972555152</v>
      </c>
      <c r="I8" s="84">
        <f t="shared" ref="I8:J8" si="3">IFERROR((I76-I64)/I104,"n.a.")</f>
        <v>0.78453466012923401</v>
      </c>
      <c r="J8" s="84">
        <f t="shared" si="3"/>
        <v>1.2674849991853938</v>
      </c>
    </row>
    <row r="9" spans="1:10" x14ac:dyDescent="0.3">
      <c r="A9" s="216" t="s">
        <v>295</v>
      </c>
      <c r="B9" s="87"/>
      <c r="C9" s="83">
        <f>C36</f>
        <v>1038.0159999999996</v>
      </c>
      <c r="D9" s="83">
        <f t="shared" ref="D9:H9" si="4">D36</f>
        <v>1240.5170000000005</v>
      </c>
      <c r="E9" s="83">
        <f t="shared" si="4"/>
        <v>4960.6549999999997</v>
      </c>
      <c r="F9" s="83">
        <f t="shared" si="4"/>
        <v>4912.831000000001</v>
      </c>
      <c r="G9" s="83">
        <f t="shared" si="4"/>
        <v>3218.4949999999994</v>
      </c>
      <c r="H9" s="83">
        <f t="shared" si="4"/>
        <v>3180.1300000000006</v>
      </c>
      <c r="I9" s="83">
        <f>I40</f>
        <v>3507.2249999999999</v>
      </c>
      <c r="J9" s="83">
        <f>J40</f>
        <v>3258.3750000000005</v>
      </c>
    </row>
    <row r="12" spans="1:10" ht="13.5" thickBot="1" x14ac:dyDescent="0.35">
      <c r="A12" s="12" t="s">
        <v>61</v>
      </c>
      <c r="B12" s="12"/>
      <c r="C12" s="14" t="str">
        <f t="shared" ref="C12:I13" si="5">C4</f>
        <v>FY 2014</v>
      </c>
      <c r="D12" s="14" t="str">
        <f t="shared" si="5"/>
        <v>FY 2015</v>
      </c>
      <c r="E12" s="14" t="str">
        <f t="shared" si="5"/>
        <v>FY 2016</v>
      </c>
      <c r="F12" s="14" t="str">
        <f t="shared" si="5"/>
        <v>FY 2016</v>
      </c>
      <c r="G12" s="14" t="str">
        <f t="shared" si="5"/>
        <v>FY 2017</v>
      </c>
      <c r="H12" s="14" t="str">
        <f t="shared" si="5"/>
        <v>FY 2018</v>
      </c>
      <c r="I12" s="14" t="str">
        <f t="shared" si="5"/>
        <v>FY 2019</v>
      </c>
      <c r="J12" s="14" t="str">
        <f t="shared" ref="J12" si="6">J4</f>
        <v>FY 2020</v>
      </c>
    </row>
    <row r="13" spans="1:10" x14ac:dyDescent="0.3">
      <c r="C13" s="41" t="str">
        <f t="shared" si="5"/>
        <v>carve-out</v>
      </c>
      <c r="D13" s="41" t="str">
        <f t="shared" si="5"/>
        <v>carve-out</v>
      </c>
      <c r="E13" s="41" t="str">
        <f t="shared" si="5"/>
        <v>carve-out</v>
      </c>
      <c r="F13" s="41" t="str">
        <f t="shared" si="5"/>
        <v>restated</v>
      </c>
      <c r="G13" s="41" t="str">
        <f t="shared" si="5"/>
        <v>reported</v>
      </c>
      <c r="H13" s="41" t="str">
        <f t="shared" si="5"/>
        <v>reported</v>
      </c>
      <c r="I13" s="41" t="str">
        <f t="shared" si="5"/>
        <v>reported</v>
      </c>
      <c r="J13" s="41" t="str">
        <f t="shared" ref="J13" si="7">J5</f>
        <v>reported</v>
      </c>
    </row>
    <row r="15" spans="1:10" x14ac:dyDescent="0.3">
      <c r="A15" s="32" t="s">
        <v>287</v>
      </c>
      <c r="B15" s="32"/>
      <c r="C15" s="55">
        <f t="shared" ref="C15:H15" si="8">IFERROR(C21-C17,C21)</f>
        <v>3156.1669999999999</v>
      </c>
      <c r="D15" s="55">
        <f t="shared" si="8"/>
        <v>3124.4780000000001</v>
      </c>
      <c r="E15" s="55">
        <f t="shared" si="8"/>
        <v>9167.6209999999992</v>
      </c>
      <c r="F15" s="55">
        <f t="shared" si="8"/>
        <v>10299.225</v>
      </c>
      <c r="G15" s="55">
        <f t="shared" si="8"/>
        <v>9120.9969999999994</v>
      </c>
      <c r="H15" s="55">
        <f t="shared" si="8"/>
        <v>9017.7510000000002</v>
      </c>
      <c r="I15" s="55">
        <f>IFERROR(I21-I17,I21)</f>
        <v>9007.1790000000001</v>
      </c>
      <c r="J15" s="55">
        <f>IFERROR(J21-J17,J21)</f>
        <v>8423.0959999999995</v>
      </c>
    </row>
    <row r="16" spans="1:10" hidden="1" outlineLevel="2" x14ac:dyDescent="0.3">
      <c r="A16" s="215" t="s">
        <v>292</v>
      </c>
      <c r="B16" s="66"/>
      <c r="C16" s="83">
        <f t="shared" ref="C16:H16" si="9">IFERROR(C18-C17,C18)</f>
        <v>2114.5340000000001</v>
      </c>
      <c r="D16" s="83">
        <f t="shared" si="9"/>
        <v>2074.7020000000002</v>
      </c>
      <c r="E16" s="83">
        <f t="shared" si="9"/>
        <v>2925.4929999999999</v>
      </c>
      <c r="F16" s="83">
        <f t="shared" si="9"/>
        <v>3556.6350000000002</v>
      </c>
      <c r="G16" s="83">
        <f t="shared" si="9"/>
        <v>2980.2939999999999</v>
      </c>
      <c r="H16" s="83">
        <f t="shared" si="9"/>
        <v>3092.9270000000001</v>
      </c>
      <c r="I16" s="83">
        <f>IFERROR(I18-I17,I18)</f>
        <v>3187.1910000000003</v>
      </c>
      <c r="J16" s="83">
        <f>IFERROR(J18-J17,J18)</f>
        <v>2725.7549999999997</v>
      </c>
    </row>
    <row r="17" spans="1:11" hidden="1" outlineLevel="2" x14ac:dyDescent="0.3">
      <c r="A17" s="215" t="s">
        <v>286</v>
      </c>
      <c r="B17" s="66"/>
      <c r="C17" s="71" t="s">
        <v>230</v>
      </c>
      <c r="D17" s="71" t="s">
        <v>230</v>
      </c>
      <c r="E17" s="71" t="s">
        <v>230</v>
      </c>
      <c r="F17" s="71" t="s">
        <v>230</v>
      </c>
      <c r="G17" s="71" t="s">
        <v>230</v>
      </c>
      <c r="H17" s="71" t="s">
        <v>230</v>
      </c>
      <c r="I17" s="71">
        <v>462.61799999999999</v>
      </c>
      <c r="J17" s="71">
        <v>434.012</v>
      </c>
    </row>
    <row r="18" spans="1:11" outlineLevel="1" collapsed="1" x14ac:dyDescent="0.3">
      <c r="A18" s="186" t="s">
        <v>293</v>
      </c>
      <c r="B18" s="66"/>
      <c r="C18" s="85">
        <f t="shared" ref="C18:H19" si="10">C47</f>
        <v>2114.5340000000001</v>
      </c>
      <c r="D18" s="85">
        <f t="shared" si="10"/>
        <v>2074.7020000000002</v>
      </c>
      <c r="E18" s="85">
        <f t="shared" si="10"/>
        <v>2925.4929999999999</v>
      </c>
      <c r="F18" s="85">
        <f t="shared" si="10"/>
        <v>3556.6350000000002</v>
      </c>
      <c r="G18" s="85">
        <f t="shared" si="10"/>
        <v>2980.2939999999999</v>
      </c>
      <c r="H18" s="85">
        <f t="shared" si="10"/>
        <v>3092.9270000000001</v>
      </c>
      <c r="I18" s="85">
        <f>I47</f>
        <v>3649.8090000000002</v>
      </c>
      <c r="J18" s="85">
        <f>J47</f>
        <v>3159.7669999999998</v>
      </c>
    </row>
    <row r="19" spans="1:11" outlineLevel="1" x14ac:dyDescent="0.3">
      <c r="A19" s="187" t="s">
        <v>1</v>
      </c>
      <c r="B19" s="65"/>
      <c r="C19" s="83">
        <f t="shared" si="10"/>
        <v>674.11800000000005</v>
      </c>
      <c r="D19" s="83">
        <f t="shared" si="10"/>
        <v>657.31500000000005</v>
      </c>
      <c r="E19" s="83">
        <f t="shared" si="10"/>
        <v>5996.4440000000004</v>
      </c>
      <c r="F19" s="83">
        <f t="shared" si="10"/>
        <v>6496.8890000000001</v>
      </c>
      <c r="G19" s="83">
        <f t="shared" si="10"/>
        <v>5893.7039999999997</v>
      </c>
      <c r="H19" s="83">
        <f t="shared" si="10"/>
        <v>5783.3379999999997</v>
      </c>
      <c r="I19" s="83">
        <f t="shared" ref="I19:J19" si="11">I48</f>
        <v>5680.1750000000002</v>
      </c>
      <c r="J19" s="83">
        <f t="shared" si="11"/>
        <v>5582.0330000000004</v>
      </c>
    </row>
    <row r="20" spans="1:11" outlineLevel="1" x14ac:dyDescent="0.3">
      <c r="A20" s="187" t="s">
        <v>49</v>
      </c>
      <c r="B20" s="65"/>
      <c r="C20" s="83">
        <f t="shared" ref="C20:H20" si="12">IFERROR(C50+C51+C52+C53,"n.a.")</f>
        <v>367.51499999999999</v>
      </c>
      <c r="D20" s="83">
        <f t="shared" si="12"/>
        <v>392.46100000000001</v>
      </c>
      <c r="E20" s="83">
        <f t="shared" si="12"/>
        <v>245.684</v>
      </c>
      <c r="F20" s="83">
        <f t="shared" si="12"/>
        <v>245.70099999999999</v>
      </c>
      <c r="G20" s="83">
        <f t="shared" si="12"/>
        <v>246.999</v>
      </c>
      <c r="H20" s="83">
        <f t="shared" si="12"/>
        <v>141.48599999999999</v>
      </c>
      <c r="I20" s="83">
        <f t="shared" ref="I20:J20" si="13">IFERROR(I50+I51+I52+I53,"n.a.")</f>
        <v>139.81299999999999</v>
      </c>
      <c r="J20" s="83">
        <f t="shared" si="13"/>
        <v>115.30799999999999</v>
      </c>
    </row>
    <row r="21" spans="1:11" x14ac:dyDescent="0.3">
      <c r="A21" s="32" t="s">
        <v>288</v>
      </c>
      <c r="B21" s="32"/>
      <c r="C21" s="55">
        <f>IFERROR(C18+C19+C20,"n.a.")</f>
        <v>3156.1669999999999</v>
      </c>
      <c r="D21" s="55">
        <f t="shared" ref="D21:H21" si="14">IFERROR(D18+D19+D20,"n.a.")</f>
        <v>3124.4780000000001</v>
      </c>
      <c r="E21" s="55">
        <f t="shared" si="14"/>
        <v>9167.6209999999992</v>
      </c>
      <c r="F21" s="55">
        <f t="shared" si="14"/>
        <v>10299.225</v>
      </c>
      <c r="G21" s="55">
        <f t="shared" si="14"/>
        <v>9120.9969999999994</v>
      </c>
      <c r="H21" s="55">
        <f t="shared" si="14"/>
        <v>9017.7510000000002</v>
      </c>
      <c r="I21" s="55">
        <f t="shared" ref="I21:J21" si="15">IFERROR(I18+I19+I20,"n.a.")</f>
        <v>9469.7970000000005</v>
      </c>
      <c r="J21" s="55">
        <f t="shared" si="15"/>
        <v>8857.1080000000002</v>
      </c>
    </row>
    <row r="22" spans="1:11" hidden="1" outlineLevel="2" x14ac:dyDescent="0.3">
      <c r="A22" s="93" t="s">
        <v>51</v>
      </c>
      <c r="B22" s="93"/>
      <c r="C22" s="84">
        <f>C64</f>
        <v>850.45600000000002</v>
      </c>
      <c r="D22" s="84">
        <f t="shared" ref="D22:G23" si="16">D64</f>
        <v>848.577</v>
      </c>
      <c r="E22" s="84">
        <f t="shared" si="16"/>
        <v>873.96199999999999</v>
      </c>
      <c r="F22" s="84">
        <f t="shared" si="16"/>
        <v>1055.6389999999999</v>
      </c>
      <c r="G22" s="84">
        <f t="shared" si="16"/>
        <v>940.66800000000001</v>
      </c>
      <c r="H22" s="84">
        <f t="shared" ref="H22:I22" si="17">H64</f>
        <v>1128.4659999999999</v>
      </c>
      <c r="I22" s="84">
        <f t="shared" si="17"/>
        <v>1093.7539999999999</v>
      </c>
      <c r="J22" s="84">
        <f t="shared" ref="J22" si="18">J64</f>
        <v>836.43700000000001</v>
      </c>
    </row>
    <row r="23" spans="1:11" hidden="1" outlineLevel="2" x14ac:dyDescent="0.3">
      <c r="A23" s="93" t="s">
        <v>52</v>
      </c>
      <c r="B23" s="93"/>
      <c r="C23" s="84">
        <f>C65</f>
        <v>566.30399999999997</v>
      </c>
      <c r="D23" s="84">
        <f>D65</f>
        <v>583.529</v>
      </c>
      <c r="E23" s="84">
        <f t="shared" si="16"/>
        <v>680.06899999999996</v>
      </c>
      <c r="F23" s="84">
        <f t="shared" si="16"/>
        <v>679.32100000000003</v>
      </c>
      <c r="G23" s="84">
        <f t="shared" si="16"/>
        <v>652.48699999999997</v>
      </c>
      <c r="H23" s="84">
        <f t="shared" ref="H23:I23" si="19">H65</f>
        <v>627.96799999999996</v>
      </c>
      <c r="I23" s="84">
        <f t="shared" si="19"/>
        <v>649.39400000000001</v>
      </c>
      <c r="J23" s="84">
        <f t="shared" ref="J23" si="20">J65</f>
        <v>597.66899999999998</v>
      </c>
    </row>
    <row r="24" spans="1:11" hidden="1" outlineLevel="2" x14ac:dyDescent="0.3">
      <c r="A24" s="93" t="s">
        <v>53</v>
      </c>
      <c r="B24" s="93"/>
      <c r="C24" s="84">
        <f>IFERROR(-C95,"n.a.")</f>
        <v>-1242.607</v>
      </c>
      <c r="D24" s="84">
        <f t="shared" ref="D24:H24" si="21">IFERROR(-D95,"n.a.")</f>
        <v>-1172.577</v>
      </c>
      <c r="E24" s="84">
        <f t="shared" si="21"/>
        <v>-1280.4829999999999</v>
      </c>
      <c r="F24" s="84">
        <f t="shared" si="21"/>
        <v>-1498.492</v>
      </c>
      <c r="G24" s="84">
        <f t="shared" si="21"/>
        <v>-1673.6420000000001</v>
      </c>
      <c r="H24" s="84">
        <f t="shared" si="21"/>
        <v>-1604.6769999999999</v>
      </c>
      <c r="I24" s="84">
        <f t="shared" ref="I24:J24" si="22">IFERROR(-I95,"n.a.")</f>
        <v>-1611.4880000000001</v>
      </c>
      <c r="J24" s="84">
        <f t="shared" si="22"/>
        <v>-1267.971</v>
      </c>
    </row>
    <row r="25" spans="1:11" outlineLevel="1" collapsed="1" x14ac:dyDescent="0.3">
      <c r="A25" s="187" t="s">
        <v>50</v>
      </c>
      <c r="B25" s="65"/>
      <c r="C25" s="55">
        <f>IFERROR(C22+C23+C24,"n.a.")</f>
        <v>174.15300000000002</v>
      </c>
      <c r="D25" s="55">
        <f t="shared" ref="D25:H25" si="23">IFERROR(D22+D23+D24,"n.a.")</f>
        <v>259.529</v>
      </c>
      <c r="E25" s="55">
        <f t="shared" si="23"/>
        <v>273.548</v>
      </c>
      <c r="F25" s="55">
        <f t="shared" si="23"/>
        <v>236.46800000000007</v>
      </c>
      <c r="G25" s="55">
        <f t="shared" si="23"/>
        <v>-80.48700000000008</v>
      </c>
      <c r="H25" s="55">
        <f t="shared" si="23"/>
        <v>151.75699999999983</v>
      </c>
      <c r="I25" s="55">
        <f t="shared" ref="I25:J25" si="24">IFERROR(I22+I23+I24,"n.a.")</f>
        <v>131.65999999999985</v>
      </c>
      <c r="J25" s="55">
        <f t="shared" si="24"/>
        <v>166.13499999999999</v>
      </c>
    </row>
    <row r="26" spans="1:11" outlineLevel="1" x14ac:dyDescent="0.3">
      <c r="A26" s="187" t="s">
        <v>54</v>
      </c>
      <c r="B26" s="65"/>
      <c r="C26" s="83">
        <f t="shared" ref="C26:G26" si="25">IFERROR(C56+C58+C60+C67+C72+C74-C85-C89-C91-C96-C97-C100-C102,"n.a.")</f>
        <v>-103.91000000000004</v>
      </c>
      <c r="D26" s="83">
        <f t="shared" si="25"/>
        <v>-130.34299999999996</v>
      </c>
      <c r="E26" s="83">
        <f t="shared" si="25"/>
        <v>-97.022000000000048</v>
      </c>
      <c r="F26" s="83">
        <f t="shared" si="25"/>
        <v>-458.71999999999997</v>
      </c>
      <c r="G26" s="83">
        <f t="shared" si="25"/>
        <v>-153.68900000000005</v>
      </c>
      <c r="H26" s="55">
        <f>IFERROR(H56+H58+H60+H67+H72+H74-H85-H89-H91-H96-H97-H100-H102,"n.a.")</f>
        <v>-39.651000000000039</v>
      </c>
      <c r="I26" s="55">
        <f t="shared" ref="I26:J26" si="26">IFERROR(I56+I58+I60+I67+I72+I74-I85-I89-I91-I96-I97-I100-I102,"n.a.")</f>
        <v>81.074999999999989</v>
      </c>
      <c r="J26" s="55">
        <f t="shared" si="26"/>
        <v>-25.734999999999886</v>
      </c>
    </row>
    <row r="27" spans="1:11" x14ac:dyDescent="0.3">
      <c r="A27" s="32" t="s">
        <v>55</v>
      </c>
      <c r="B27" s="32"/>
      <c r="C27" s="55">
        <f>IFERROR(C25+C26,"n.a.")</f>
        <v>70.242999999999981</v>
      </c>
      <c r="D27" s="55">
        <f t="shared" ref="D27:G27" si="27">IFERROR(D25+D26,"n.a.")</f>
        <v>129.18600000000004</v>
      </c>
      <c r="E27" s="55">
        <f t="shared" si="27"/>
        <v>176.52599999999995</v>
      </c>
      <c r="F27" s="55">
        <f t="shared" si="27"/>
        <v>-222.2519999999999</v>
      </c>
      <c r="G27" s="55">
        <f t="shared" si="27"/>
        <v>-234.17600000000013</v>
      </c>
      <c r="H27" s="55">
        <f>IFERROR(H25+H26,"n.a.")</f>
        <v>112.1059999999998</v>
      </c>
      <c r="I27" s="55">
        <f>IFERROR(I25+I26,"n.a.")</f>
        <v>212.73499999999984</v>
      </c>
      <c r="J27" s="55">
        <f>IFERROR(J25+J26,"n.a.")</f>
        <v>140.40000000000009</v>
      </c>
    </row>
    <row r="28" spans="1:11" hidden="1" outlineLevel="2" x14ac:dyDescent="0.3">
      <c r="A28" s="32" t="s">
        <v>140</v>
      </c>
      <c r="B28" s="94"/>
      <c r="C28" s="88">
        <f t="shared" ref="C28:G28" si="28">IFERROR(C21+C27,"n.a.")</f>
        <v>3226.41</v>
      </c>
      <c r="D28" s="88">
        <f t="shared" si="28"/>
        <v>3253.6640000000002</v>
      </c>
      <c r="E28" s="88">
        <f t="shared" si="28"/>
        <v>9344.146999999999</v>
      </c>
      <c r="F28" s="88">
        <f t="shared" si="28"/>
        <v>10076.973</v>
      </c>
      <c r="G28" s="88">
        <f t="shared" si="28"/>
        <v>8886.8209999999999</v>
      </c>
      <c r="H28" s="88">
        <f>IFERROR(H21+H27,"n.a.")</f>
        <v>9129.857</v>
      </c>
      <c r="I28" s="88">
        <f>IFERROR(I21+I27,"n.a.")</f>
        <v>9682.5320000000011</v>
      </c>
      <c r="J28" s="88">
        <f>IFERROR(J21+J27,"n.a.")</f>
        <v>8997.5079999999998</v>
      </c>
    </row>
    <row r="29" spans="1:11" hidden="1" outlineLevel="2" x14ac:dyDescent="0.3">
      <c r="A29" s="32" t="s">
        <v>135</v>
      </c>
      <c r="B29" s="65"/>
      <c r="C29" s="71">
        <v>30.757000000000001</v>
      </c>
      <c r="D29" s="83">
        <f t="shared" ref="D29:G29" si="29">IFERROR(D77-D105,"n.a.")</f>
        <v>0</v>
      </c>
      <c r="E29" s="83">
        <f t="shared" si="29"/>
        <v>0</v>
      </c>
      <c r="F29" s="83">
        <f t="shared" si="29"/>
        <v>0</v>
      </c>
      <c r="G29" s="83">
        <f t="shared" si="29"/>
        <v>60.728999999999999</v>
      </c>
      <c r="H29" s="83">
        <f>IFERROR(H77-H105,"n.a.")</f>
        <v>10.677</v>
      </c>
      <c r="I29" s="83">
        <f>IFERROR(I77-I105,"n.a.")</f>
        <v>0</v>
      </c>
      <c r="J29" s="83">
        <f>IFERROR(J77-J105,"n.a.")</f>
        <v>0</v>
      </c>
    </row>
    <row r="30" spans="1:11" s="25" customFormat="1" ht="13" collapsed="1" x14ac:dyDescent="0.3">
      <c r="A30" s="111" t="s">
        <v>56</v>
      </c>
      <c r="B30" s="111"/>
      <c r="C30" s="112">
        <f>IFERROR(C28+C29,"n.a.")</f>
        <v>3257.1669999999999</v>
      </c>
      <c r="D30" s="112">
        <f t="shared" ref="D30:G30" si="30">IFERROR(D28+D29,"n.a.")</f>
        <v>3253.6640000000002</v>
      </c>
      <c r="E30" s="112">
        <f t="shared" si="30"/>
        <v>9344.146999999999</v>
      </c>
      <c r="F30" s="112">
        <f t="shared" si="30"/>
        <v>10076.973</v>
      </c>
      <c r="G30" s="112">
        <f t="shared" si="30"/>
        <v>8947.5499999999993</v>
      </c>
      <c r="H30" s="112">
        <f>IFERROR(H28+H29,"n.a.")</f>
        <v>9140.5339999999997</v>
      </c>
      <c r="I30" s="112">
        <f>IFERROR(I28+I29,"n.a.")</f>
        <v>9682.5320000000011</v>
      </c>
      <c r="J30" s="112">
        <f>IFERROR(J28+J29,"n.a.")</f>
        <v>8997.5079999999998</v>
      </c>
      <c r="K30" s="2"/>
    </row>
    <row r="31" spans="1:11" x14ac:dyDescent="0.3">
      <c r="A31" s="59"/>
      <c r="B31" s="59"/>
      <c r="C31" s="60"/>
      <c r="D31" s="60"/>
      <c r="E31" s="60"/>
      <c r="F31" s="60"/>
      <c r="G31" s="60"/>
      <c r="H31" s="60"/>
      <c r="I31" s="60"/>
      <c r="J31" s="60"/>
    </row>
    <row r="32" spans="1:11" x14ac:dyDescent="0.3">
      <c r="A32" s="39" t="s">
        <v>57</v>
      </c>
      <c r="B32" s="39"/>
      <c r="C32" s="81">
        <f t="shared" ref="C32:H32" si="31">C115</f>
        <v>1850.4970000000001</v>
      </c>
      <c r="D32" s="81">
        <f t="shared" si="31"/>
        <v>1636.43</v>
      </c>
      <c r="E32" s="81">
        <f t="shared" si="31"/>
        <v>2633.3630000000003</v>
      </c>
      <c r="F32" s="81">
        <f t="shared" si="31"/>
        <v>3274.8580000000002</v>
      </c>
      <c r="G32" s="81">
        <f t="shared" si="31"/>
        <v>4177.009</v>
      </c>
      <c r="H32" s="81">
        <f t="shared" si="31"/>
        <v>4550.9269999999997</v>
      </c>
      <c r="I32" s="81">
        <f t="shared" ref="I32:J32" si="32">I115</f>
        <v>4826.6310000000003</v>
      </c>
      <c r="J32" s="81">
        <f t="shared" si="32"/>
        <v>4551.8500000000004</v>
      </c>
    </row>
    <row r="33" spans="1:17" hidden="1" outlineLevel="2" x14ac:dyDescent="0.3">
      <c r="A33" s="65" t="s">
        <v>139</v>
      </c>
      <c r="B33" s="65"/>
      <c r="C33" s="83">
        <f t="shared" ref="C33:I33" si="33">IFERROR(-C54-C62+C86+C87+C88+C98+C99,"n.a.")</f>
        <v>363.52300000000002</v>
      </c>
      <c r="D33" s="83">
        <f t="shared" si="33"/>
        <v>376.71700000000004</v>
      </c>
      <c r="E33" s="83">
        <f t="shared" si="33"/>
        <v>1750.1289999999999</v>
      </c>
      <c r="F33" s="83">
        <f t="shared" si="33"/>
        <v>1889.2840000000001</v>
      </c>
      <c r="G33" s="83">
        <f t="shared" si="33"/>
        <v>1552.076</v>
      </c>
      <c r="H33" s="83">
        <f t="shared" si="33"/>
        <v>1409.4770000000001</v>
      </c>
      <c r="I33" s="83">
        <f>IFERROR(-I54-I62+I86+I87+I88+I98+I99,"n.a.")</f>
        <v>1348.6759999999999</v>
      </c>
      <c r="J33" s="83">
        <f>IFERROR(-J54-J62+J86+J87+J88+J98+J99,"n.a.")</f>
        <v>1187.2829999999999</v>
      </c>
    </row>
    <row r="34" spans="1:17" hidden="1" outlineLevel="2" x14ac:dyDescent="0.3">
      <c r="A34" s="65" t="s">
        <v>136</v>
      </c>
      <c r="B34" s="65"/>
      <c r="C34" s="71">
        <v>5.165</v>
      </c>
      <c r="D34" s="71">
        <v>0</v>
      </c>
      <c r="E34" s="71">
        <v>0</v>
      </c>
      <c r="F34" s="71">
        <v>0</v>
      </c>
      <c r="G34" s="71">
        <v>0</v>
      </c>
      <c r="H34" s="71">
        <v>0</v>
      </c>
      <c r="I34" s="71">
        <v>0</v>
      </c>
      <c r="J34" s="71">
        <v>0</v>
      </c>
    </row>
    <row r="35" spans="1:17" collapsed="1" x14ac:dyDescent="0.3">
      <c r="A35" s="32" t="s">
        <v>58</v>
      </c>
      <c r="B35" s="32"/>
      <c r="C35" s="83">
        <f t="shared" ref="C35:G35" si="34">IFERROR(C33+C34,"n.a.")</f>
        <v>368.68800000000005</v>
      </c>
      <c r="D35" s="83">
        <f t="shared" si="34"/>
        <v>376.71700000000004</v>
      </c>
      <c r="E35" s="83">
        <f t="shared" si="34"/>
        <v>1750.1289999999999</v>
      </c>
      <c r="F35" s="83">
        <f t="shared" si="34"/>
        <v>1889.2840000000001</v>
      </c>
      <c r="G35" s="83">
        <f t="shared" si="34"/>
        <v>1552.076</v>
      </c>
      <c r="H35" s="83">
        <f>IFERROR(H33+H34,"n.a.")</f>
        <v>1409.4770000000001</v>
      </c>
      <c r="I35" s="83">
        <f>IFERROR(I33+I34,"n.a.")</f>
        <v>1348.6759999999999</v>
      </c>
      <c r="J35" s="83">
        <f>IFERROR(J33+J34,"n.a.")</f>
        <v>1187.2829999999999</v>
      </c>
    </row>
    <row r="36" spans="1:17" x14ac:dyDescent="0.3">
      <c r="A36" s="32" t="s">
        <v>289</v>
      </c>
      <c r="B36" s="32"/>
      <c r="C36" s="83">
        <f t="shared" ref="C36:G36" si="35">IFERROR(C40-C37,C40)</f>
        <v>1038.0159999999996</v>
      </c>
      <c r="D36" s="83">
        <f t="shared" si="35"/>
        <v>1240.5170000000005</v>
      </c>
      <c r="E36" s="83">
        <f t="shared" si="35"/>
        <v>4960.6549999999997</v>
      </c>
      <c r="F36" s="83">
        <f t="shared" si="35"/>
        <v>4912.831000000001</v>
      </c>
      <c r="G36" s="83">
        <f t="shared" si="35"/>
        <v>3218.4949999999994</v>
      </c>
      <c r="H36" s="83">
        <f>IFERROR(H40-H37,H40)</f>
        <v>3180.1300000000006</v>
      </c>
      <c r="I36" s="83">
        <f>IFERROR(I40-I37,I40)</f>
        <v>3024.0529999999999</v>
      </c>
      <c r="J36" s="83">
        <f>IFERROR(J40-J37,"n.a.")</f>
        <v>2792.5220000000004</v>
      </c>
    </row>
    <row r="37" spans="1:17" x14ac:dyDescent="0.3">
      <c r="A37" s="163" t="s">
        <v>290</v>
      </c>
      <c r="B37" s="163"/>
      <c r="C37" s="71" t="s">
        <v>230</v>
      </c>
      <c r="D37" s="71" t="s">
        <v>230</v>
      </c>
      <c r="E37" s="71" t="s">
        <v>230</v>
      </c>
      <c r="F37" s="71" t="s">
        <v>230</v>
      </c>
      <c r="G37" s="71" t="s">
        <v>230</v>
      </c>
      <c r="H37" s="71" t="s">
        <v>230</v>
      </c>
      <c r="I37" s="71">
        <v>483.17200000000003</v>
      </c>
      <c r="J37" s="71">
        <v>465.85300000000001</v>
      </c>
    </row>
    <row r="38" spans="1:17" hidden="1" outlineLevel="2" x14ac:dyDescent="0.3">
      <c r="A38" s="65" t="s">
        <v>138</v>
      </c>
      <c r="B38" s="65"/>
      <c r="C38" s="83">
        <f t="shared" ref="C38:H38" si="36">IFERROR(C84+C90+C94+C101-C55-C59-C66-C71-C73-C70-C69,"n.a.")</f>
        <v>1043.7829999999997</v>
      </c>
      <c r="D38" s="83">
        <f t="shared" si="36"/>
        <v>1240.5170000000005</v>
      </c>
      <c r="E38" s="83">
        <f t="shared" si="36"/>
        <v>4960.6549999999997</v>
      </c>
      <c r="F38" s="83">
        <f t="shared" si="36"/>
        <v>4912.831000000001</v>
      </c>
      <c r="G38" s="83">
        <f t="shared" si="36"/>
        <v>3218.4949999999994</v>
      </c>
      <c r="H38" s="83">
        <f t="shared" si="36"/>
        <v>3180.1300000000006</v>
      </c>
      <c r="I38" s="83">
        <f t="shared" ref="I38:J38" si="37">IFERROR(I84+I90+I94+I101-I55-I59-I66-I71-I73-I70-I69,"n.a.")</f>
        <v>3507.2249999999999</v>
      </c>
      <c r="J38" s="83">
        <f t="shared" si="37"/>
        <v>3258.3750000000005</v>
      </c>
    </row>
    <row r="39" spans="1:17" hidden="1" outlineLevel="2" x14ac:dyDescent="0.3">
      <c r="A39" s="65" t="s">
        <v>137</v>
      </c>
      <c r="B39" s="65"/>
      <c r="C39" s="71">
        <v>-5.7670000000000003</v>
      </c>
      <c r="D39" s="71">
        <v>0</v>
      </c>
      <c r="E39" s="71">
        <v>0</v>
      </c>
      <c r="F39" s="71">
        <v>0</v>
      </c>
      <c r="G39" s="71">
        <v>0</v>
      </c>
      <c r="H39" s="71">
        <v>0</v>
      </c>
      <c r="I39" s="71">
        <v>0</v>
      </c>
      <c r="J39" s="71">
        <v>0</v>
      </c>
    </row>
    <row r="40" spans="1:17" collapsed="1" x14ac:dyDescent="0.3">
      <c r="A40" s="32" t="s">
        <v>291</v>
      </c>
      <c r="B40" s="32"/>
      <c r="C40" s="83">
        <f>IFERROR(C38+C39,"n.a.")</f>
        <v>1038.0159999999996</v>
      </c>
      <c r="D40" s="83">
        <f t="shared" ref="D40:H40" si="38">IFERROR(D38+D39,"n.a.")</f>
        <v>1240.5170000000005</v>
      </c>
      <c r="E40" s="83">
        <f t="shared" si="38"/>
        <v>4960.6549999999997</v>
      </c>
      <c r="F40" s="83">
        <f t="shared" si="38"/>
        <v>4912.831000000001</v>
      </c>
      <c r="G40" s="83">
        <f t="shared" si="38"/>
        <v>3218.4949999999994</v>
      </c>
      <c r="H40" s="83">
        <f t="shared" si="38"/>
        <v>3180.1300000000006</v>
      </c>
      <c r="I40" s="83">
        <f t="shared" ref="I40:J40" si="39">IFERROR(I38+I39,"n.a.")</f>
        <v>3507.2249999999999</v>
      </c>
      <c r="J40" s="83">
        <f t="shared" si="39"/>
        <v>3258.3750000000005</v>
      </c>
    </row>
    <row r="41" spans="1:17" s="25" customFormat="1" ht="13" x14ac:dyDescent="0.3">
      <c r="A41" s="103" t="s">
        <v>60</v>
      </c>
      <c r="B41" s="103"/>
      <c r="C41" s="104">
        <f t="shared" ref="C41:G41" si="40">IFERROR(C32+C35+C40,"n.a.")</f>
        <v>3257.2009999999996</v>
      </c>
      <c r="D41" s="104">
        <f t="shared" si="40"/>
        <v>3253.6640000000007</v>
      </c>
      <c r="E41" s="104">
        <f t="shared" si="40"/>
        <v>9344.1470000000008</v>
      </c>
      <c r="F41" s="104">
        <f t="shared" si="40"/>
        <v>10076.973000000002</v>
      </c>
      <c r="G41" s="104">
        <f t="shared" si="40"/>
        <v>8947.58</v>
      </c>
      <c r="H41" s="104">
        <f>IFERROR(H32+H35+H40,"n.a.")</f>
        <v>9140.5339999999997</v>
      </c>
      <c r="I41" s="104">
        <f>IFERROR(I32+I35+I40,"n.a.")</f>
        <v>9682.5320000000011</v>
      </c>
      <c r="J41" s="104">
        <f>IFERROR(J32+J35+J40,"n.a.")</f>
        <v>8997.5079999999998</v>
      </c>
      <c r="K41" s="2"/>
    </row>
    <row r="42" spans="1:17" ht="13" x14ac:dyDescent="0.3">
      <c r="L42" s="25"/>
      <c r="M42" s="25"/>
      <c r="N42" s="25"/>
      <c r="O42" s="25"/>
      <c r="P42" s="25"/>
      <c r="Q42" s="25"/>
    </row>
    <row r="43" spans="1:17" ht="13" x14ac:dyDescent="0.3">
      <c r="L43" s="25"/>
      <c r="M43" s="25"/>
      <c r="N43" s="25"/>
      <c r="O43" s="25"/>
      <c r="P43" s="25"/>
      <c r="Q43" s="25"/>
    </row>
    <row r="44" spans="1:17" ht="13.5" thickBot="1" x14ac:dyDescent="0.35">
      <c r="A44" s="12" t="s">
        <v>75</v>
      </c>
      <c r="B44" s="12"/>
      <c r="C44" s="14" t="str">
        <f t="shared" ref="C44:I45" si="41">C4</f>
        <v>FY 2014</v>
      </c>
      <c r="D44" s="14" t="str">
        <f t="shared" si="41"/>
        <v>FY 2015</v>
      </c>
      <c r="E44" s="14" t="str">
        <f t="shared" si="41"/>
        <v>FY 2016</v>
      </c>
      <c r="F44" s="14" t="str">
        <f t="shared" si="41"/>
        <v>FY 2016</v>
      </c>
      <c r="G44" s="14" t="str">
        <f t="shared" si="41"/>
        <v>FY 2017</v>
      </c>
      <c r="H44" s="14" t="str">
        <f t="shared" si="41"/>
        <v>FY 2018</v>
      </c>
      <c r="I44" s="14" t="str">
        <f t="shared" si="41"/>
        <v>FY 2019</v>
      </c>
      <c r="J44" s="14" t="str">
        <f t="shared" ref="J44" si="42">J4</f>
        <v>FY 2020</v>
      </c>
      <c r="L44" s="25"/>
      <c r="M44" s="25"/>
      <c r="N44" s="25"/>
      <c r="O44" s="25"/>
      <c r="P44" s="25"/>
      <c r="Q44" s="25"/>
    </row>
    <row r="45" spans="1:17" ht="13" x14ac:dyDescent="0.3">
      <c r="C45" s="41" t="str">
        <f t="shared" si="41"/>
        <v>carve-out</v>
      </c>
      <c r="D45" s="41" t="str">
        <f t="shared" si="41"/>
        <v>carve-out</v>
      </c>
      <c r="E45" s="41" t="str">
        <f t="shared" si="41"/>
        <v>carve-out</v>
      </c>
      <c r="F45" s="41" t="str">
        <f t="shared" si="41"/>
        <v>restated</v>
      </c>
      <c r="G45" s="41" t="str">
        <f t="shared" si="41"/>
        <v>reported</v>
      </c>
      <c r="H45" s="41" t="str">
        <f t="shared" si="41"/>
        <v>reported</v>
      </c>
      <c r="I45" s="41" t="str">
        <f t="shared" si="41"/>
        <v>reported</v>
      </c>
      <c r="J45" s="41" t="str">
        <f t="shared" ref="J45" si="43">J5</f>
        <v>reported</v>
      </c>
      <c r="L45" s="25"/>
      <c r="M45" s="25"/>
      <c r="N45" s="25"/>
      <c r="O45" s="25"/>
      <c r="P45" s="25"/>
      <c r="Q45" s="25"/>
    </row>
    <row r="46" spans="1:17" ht="13" x14ac:dyDescent="0.3">
      <c r="L46" s="25"/>
      <c r="M46" s="25"/>
      <c r="N46" s="25"/>
      <c r="O46" s="25"/>
      <c r="P46" s="25"/>
      <c r="Q46" s="25"/>
    </row>
    <row r="47" spans="1:17" ht="13" outlineLevel="1" x14ac:dyDescent="0.3">
      <c r="A47" s="66" t="s">
        <v>0</v>
      </c>
      <c r="B47" s="66"/>
      <c r="C47" s="90">
        <v>2114.5340000000001</v>
      </c>
      <c r="D47" s="90">
        <v>2074.7020000000002</v>
      </c>
      <c r="E47" s="90">
        <v>2925.4929999999999</v>
      </c>
      <c r="F47" s="90">
        <v>3556.6350000000002</v>
      </c>
      <c r="G47" s="90">
        <v>2980.2939999999999</v>
      </c>
      <c r="H47" s="90">
        <v>3092.9270000000001</v>
      </c>
      <c r="I47" s="90">
        <v>3649.8090000000002</v>
      </c>
      <c r="J47" s="90">
        <v>3159.7669999999998</v>
      </c>
      <c r="L47" s="25"/>
      <c r="M47" s="25"/>
      <c r="N47" s="25"/>
      <c r="O47" s="25"/>
      <c r="P47" s="25"/>
      <c r="Q47" s="25"/>
    </row>
    <row r="48" spans="1:17" ht="13" outlineLevel="1" x14ac:dyDescent="0.3">
      <c r="A48" s="65" t="s">
        <v>1</v>
      </c>
      <c r="B48" s="65"/>
      <c r="C48" s="46">
        <v>674.11800000000005</v>
      </c>
      <c r="D48" s="46">
        <v>657.31500000000005</v>
      </c>
      <c r="E48" s="46">
        <v>5996.4440000000004</v>
      </c>
      <c r="F48" s="46">
        <v>6496.8890000000001</v>
      </c>
      <c r="G48" s="46">
        <v>5893.7039999999997</v>
      </c>
      <c r="H48" s="46">
        <v>5783.3379999999997</v>
      </c>
      <c r="I48" s="46">
        <v>5680.1750000000002</v>
      </c>
      <c r="J48" s="46">
        <v>5582.0330000000004</v>
      </c>
      <c r="L48" s="25"/>
      <c r="M48" s="25"/>
      <c r="N48" s="25"/>
      <c r="O48" s="25"/>
      <c r="P48" s="25"/>
      <c r="Q48" s="25"/>
    </row>
    <row r="49" spans="1:17" ht="13" outlineLevel="1" x14ac:dyDescent="0.3">
      <c r="A49" s="247" t="s">
        <v>62</v>
      </c>
      <c r="B49" s="247"/>
      <c r="C49" s="253">
        <v>577.34699999999998</v>
      </c>
      <c r="D49" s="253">
        <v>572.70299999999997</v>
      </c>
      <c r="E49" s="253">
        <v>1877.3630000000001</v>
      </c>
      <c r="F49" s="253">
        <v>2351.2629999999999</v>
      </c>
      <c r="G49" s="254">
        <v>1877.3630000000001</v>
      </c>
      <c r="H49" s="254">
        <v>1886.9</v>
      </c>
      <c r="I49" s="254">
        <v>1886.9</v>
      </c>
      <c r="J49" s="253">
        <v>1883.9449999999999</v>
      </c>
      <c r="L49" s="25"/>
      <c r="M49" s="25"/>
      <c r="N49" s="25"/>
      <c r="O49" s="25"/>
      <c r="P49" s="25"/>
      <c r="Q49" s="25"/>
    </row>
    <row r="50" spans="1:17" ht="13" outlineLevel="1" x14ac:dyDescent="0.3">
      <c r="A50" s="65" t="s">
        <v>63</v>
      </c>
      <c r="B50" s="65"/>
      <c r="C50" s="46">
        <v>186.78299999999999</v>
      </c>
      <c r="D50" s="46">
        <v>167.34800000000001</v>
      </c>
      <c r="E50" s="46">
        <v>47.01</v>
      </c>
      <c r="F50" s="46">
        <v>47.01</v>
      </c>
      <c r="G50" s="46">
        <v>17.48</v>
      </c>
      <c r="H50" s="46">
        <v>72.704999999999998</v>
      </c>
      <c r="I50" s="46">
        <v>80.846000000000004</v>
      </c>
      <c r="J50" s="46">
        <v>72.587999999999994</v>
      </c>
      <c r="K50" s="224"/>
      <c r="L50" s="25"/>
      <c r="M50" s="25"/>
      <c r="N50" s="25"/>
      <c r="O50" s="25"/>
      <c r="P50" s="25"/>
      <c r="Q50" s="25"/>
    </row>
    <row r="51" spans="1:17" ht="13" outlineLevel="1" x14ac:dyDescent="0.3">
      <c r="A51" s="65" t="s">
        <v>64</v>
      </c>
      <c r="B51" s="65"/>
      <c r="C51" s="46">
        <v>180.732</v>
      </c>
      <c r="D51" s="46">
        <v>225.113</v>
      </c>
      <c r="E51" s="46">
        <v>198.67400000000001</v>
      </c>
      <c r="F51" s="46">
        <v>198.691</v>
      </c>
      <c r="G51" s="46">
        <v>229.51900000000001</v>
      </c>
      <c r="H51" s="46">
        <v>0</v>
      </c>
      <c r="I51" s="46">
        <v>0</v>
      </c>
      <c r="J51" s="46">
        <v>0</v>
      </c>
      <c r="L51" s="25"/>
      <c r="M51" s="25"/>
      <c r="N51" s="25"/>
      <c r="O51" s="25"/>
      <c r="P51" s="25"/>
      <c r="Q51" s="25"/>
    </row>
    <row r="52" spans="1:17" ht="13" outlineLevel="1" x14ac:dyDescent="0.3">
      <c r="A52" s="65" t="s">
        <v>242</v>
      </c>
      <c r="B52" s="65"/>
      <c r="C52" s="46">
        <v>0</v>
      </c>
      <c r="D52" s="46">
        <v>0</v>
      </c>
      <c r="E52" s="46">
        <v>0</v>
      </c>
      <c r="F52" s="46">
        <v>0</v>
      </c>
      <c r="G52" s="46">
        <v>0</v>
      </c>
      <c r="H52" s="46">
        <v>0</v>
      </c>
      <c r="I52" s="46">
        <v>0</v>
      </c>
      <c r="J52" s="46">
        <v>0</v>
      </c>
      <c r="L52" s="25"/>
      <c r="M52" s="25"/>
      <c r="N52" s="25"/>
      <c r="O52" s="25"/>
      <c r="P52" s="25"/>
      <c r="Q52" s="25"/>
    </row>
    <row r="53" spans="1:17" ht="13" outlineLevel="1" x14ac:dyDescent="0.3">
      <c r="A53" s="65" t="s">
        <v>313</v>
      </c>
      <c r="B53" s="65"/>
      <c r="C53" s="46">
        <v>0</v>
      </c>
      <c r="D53" s="46">
        <v>0</v>
      </c>
      <c r="E53" s="46">
        <v>0</v>
      </c>
      <c r="F53" s="46">
        <v>0</v>
      </c>
      <c r="G53" s="46">
        <v>0</v>
      </c>
      <c r="H53" s="46">
        <v>68.781000000000006</v>
      </c>
      <c r="I53" s="46">
        <v>58.966999999999999</v>
      </c>
      <c r="J53" s="46">
        <v>42.72</v>
      </c>
      <c r="L53" s="25"/>
      <c r="M53" s="25"/>
      <c r="N53" s="25"/>
      <c r="O53" s="25"/>
      <c r="P53" s="25"/>
      <c r="Q53" s="25"/>
    </row>
    <row r="54" spans="1:17" ht="13" outlineLevel="1" x14ac:dyDescent="0.3">
      <c r="A54" s="65" t="s">
        <v>65</v>
      </c>
      <c r="B54" s="65"/>
      <c r="C54" s="46">
        <v>240.505</v>
      </c>
      <c r="D54" s="46">
        <v>105.848</v>
      </c>
      <c r="E54" s="46">
        <v>116.04600000000001</v>
      </c>
      <c r="F54" s="46">
        <v>147.964</v>
      </c>
      <c r="G54" s="46">
        <v>111.553</v>
      </c>
      <c r="H54" s="46">
        <v>74.117999999999995</v>
      </c>
      <c r="I54" s="46">
        <v>81.188000000000002</v>
      </c>
      <c r="J54" s="46">
        <v>109.378</v>
      </c>
      <c r="L54" s="25"/>
      <c r="M54" s="25"/>
      <c r="N54" s="25"/>
      <c r="O54" s="25"/>
      <c r="P54" s="25"/>
      <c r="Q54" s="25"/>
    </row>
    <row r="55" spans="1:17" ht="13" hidden="1" outlineLevel="2" x14ac:dyDescent="0.3">
      <c r="A55" s="93" t="s">
        <v>133</v>
      </c>
      <c r="B55" s="93"/>
      <c r="C55" s="46">
        <v>49.33</v>
      </c>
      <c r="D55" s="46">
        <v>43.536999999999999</v>
      </c>
      <c r="E55" s="46">
        <v>84.712000000000003</v>
      </c>
      <c r="F55" s="46">
        <v>95.713999999999999</v>
      </c>
      <c r="G55" s="46">
        <v>94.584999999999994</v>
      </c>
      <c r="H55" s="71">
        <v>123.547</v>
      </c>
      <c r="I55" s="71">
        <v>135.99600000000001</v>
      </c>
      <c r="J55" s="71">
        <v>265.94499999999999</v>
      </c>
      <c r="L55" s="25"/>
      <c r="M55" s="25"/>
      <c r="N55" s="25"/>
      <c r="O55" s="25"/>
      <c r="P55" s="25"/>
      <c r="Q55" s="25"/>
    </row>
    <row r="56" spans="1:17" ht="13" hidden="1" outlineLevel="2" x14ac:dyDescent="0.3">
      <c r="A56" s="93" t="s">
        <v>134</v>
      </c>
      <c r="B56" s="93"/>
      <c r="C56" s="46">
        <v>73.125</v>
      </c>
      <c r="D56" s="46">
        <v>66.890000000000015</v>
      </c>
      <c r="E56" s="46">
        <v>108.26600000000001</v>
      </c>
      <c r="F56" s="46">
        <v>131.154</v>
      </c>
      <c r="G56" s="46">
        <v>109.46599999999999</v>
      </c>
      <c r="H56" s="71">
        <v>102.16</v>
      </c>
      <c r="I56" s="71">
        <v>206.40099999999998</v>
      </c>
      <c r="J56" s="71">
        <v>136.20300000000003</v>
      </c>
      <c r="L56" s="25"/>
      <c r="M56" s="25"/>
      <c r="N56" s="25"/>
      <c r="O56" s="25"/>
      <c r="P56" s="25"/>
      <c r="Q56" s="25"/>
    </row>
    <row r="57" spans="1:17" ht="13" outlineLevel="1" collapsed="1" x14ac:dyDescent="0.3">
      <c r="A57" s="65" t="s">
        <v>66</v>
      </c>
      <c r="B57" s="65"/>
      <c r="C57" s="84">
        <f t="shared" ref="C57:G57" si="44">IFERROR(C55+C56,"n.a.")</f>
        <v>122.455</v>
      </c>
      <c r="D57" s="84">
        <f t="shared" si="44"/>
        <v>110.42700000000002</v>
      </c>
      <c r="E57" s="84">
        <f t="shared" si="44"/>
        <v>192.97800000000001</v>
      </c>
      <c r="F57" s="84">
        <f t="shared" si="44"/>
        <v>226.86799999999999</v>
      </c>
      <c r="G57" s="84">
        <f t="shared" si="44"/>
        <v>204.05099999999999</v>
      </c>
      <c r="H57" s="83">
        <f>IFERROR(H55+H56,"n.a.")</f>
        <v>225.70699999999999</v>
      </c>
      <c r="I57" s="83">
        <f>IFERROR(I55+I56,"n.a.")</f>
        <v>342.39699999999999</v>
      </c>
      <c r="J57" s="83">
        <f>IFERROR(J55+J56,"n.a.")</f>
        <v>402.14800000000002</v>
      </c>
      <c r="L57" s="25"/>
      <c r="M57" s="25"/>
      <c r="N57" s="25"/>
      <c r="O57" s="25"/>
      <c r="P57" s="25"/>
      <c r="Q57" s="25"/>
    </row>
    <row r="58" spans="1:17" ht="13" outlineLevel="1" x14ac:dyDescent="0.3">
      <c r="A58" s="65" t="s">
        <v>67</v>
      </c>
      <c r="B58" s="65"/>
      <c r="C58" s="46">
        <v>9.9939999999999998</v>
      </c>
      <c r="D58" s="46">
        <v>5.3079999999999998</v>
      </c>
      <c r="E58" s="46">
        <v>11.864000000000001</v>
      </c>
      <c r="F58" s="46">
        <v>11.864000000000001</v>
      </c>
      <c r="G58" s="46">
        <v>27.318000000000001</v>
      </c>
      <c r="H58" s="71">
        <v>16.169</v>
      </c>
      <c r="I58" s="71">
        <v>9.14</v>
      </c>
      <c r="J58" s="71">
        <v>4.7610000000000001</v>
      </c>
      <c r="L58" s="25"/>
      <c r="M58" s="25"/>
      <c r="N58" s="25"/>
      <c r="O58" s="25"/>
      <c r="P58" s="25"/>
      <c r="Q58" s="25"/>
    </row>
    <row r="59" spans="1:17" ht="13" hidden="1" outlineLevel="2" x14ac:dyDescent="0.3">
      <c r="A59" s="93" t="s">
        <v>259</v>
      </c>
      <c r="B59" s="93"/>
      <c r="C59" s="46">
        <v>0</v>
      </c>
      <c r="D59" s="46">
        <v>0</v>
      </c>
      <c r="E59" s="46">
        <v>0</v>
      </c>
      <c r="F59" s="46">
        <v>0</v>
      </c>
      <c r="G59" s="46">
        <v>0</v>
      </c>
      <c r="H59" s="71">
        <v>20.134</v>
      </c>
      <c r="I59" s="71">
        <v>52.515000000000001</v>
      </c>
      <c r="J59" s="71">
        <v>0</v>
      </c>
      <c r="L59" s="25"/>
      <c r="M59" s="25"/>
      <c r="N59" s="25"/>
      <c r="O59" s="25"/>
      <c r="P59" s="25"/>
      <c r="Q59" s="25"/>
    </row>
    <row r="60" spans="1:17" ht="13" hidden="1" outlineLevel="2" x14ac:dyDescent="0.3">
      <c r="A60" s="93" t="s">
        <v>260</v>
      </c>
      <c r="B60" s="93"/>
      <c r="C60" s="46">
        <v>0</v>
      </c>
      <c r="D60" s="46">
        <v>0</v>
      </c>
      <c r="E60" s="46">
        <v>0</v>
      </c>
      <c r="F60" s="46">
        <v>0</v>
      </c>
      <c r="G60" s="46">
        <v>0.84799999999999998</v>
      </c>
      <c r="H60" s="71">
        <v>0</v>
      </c>
      <c r="I60" s="71">
        <v>0</v>
      </c>
      <c r="J60" s="71">
        <v>0</v>
      </c>
      <c r="L60" s="25"/>
      <c r="M60" s="25"/>
      <c r="N60" s="25"/>
      <c r="O60" s="25"/>
      <c r="P60" s="25"/>
      <c r="Q60" s="25"/>
    </row>
    <row r="61" spans="1:17" ht="13" outlineLevel="1" collapsed="1" x14ac:dyDescent="0.3">
      <c r="A61" s="121" t="s">
        <v>71</v>
      </c>
      <c r="B61" s="121"/>
      <c r="C61" s="83">
        <f t="shared" ref="C61:G61" si="45">IFERROR(C59+C60,"n.a.")</f>
        <v>0</v>
      </c>
      <c r="D61" s="83">
        <f t="shared" si="45"/>
        <v>0</v>
      </c>
      <c r="E61" s="83">
        <f t="shared" si="45"/>
        <v>0</v>
      </c>
      <c r="F61" s="83">
        <f t="shared" si="45"/>
        <v>0</v>
      </c>
      <c r="G61" s="83">
        <f t="shared" si="45"/>
        <v>0.84799999999999998</v>
      </c>
      <c r="H61" s="83">
        <f>IFERROR(H59+H60,"n.a.")</f>
        <v>20.134</v>
      </c>
      <c r="I61" s="83">
        <f>IFERROR(I59+I60,"n.a.")</f>
        <v>52.515000000000001</v>
      </c>
      <c r="J61" s="83">
        <f>IFERROR(J59+J60,"n.a.")</f>
        <v>0</v>
      </c>
      <c r="L61" s="25"/>
      <c r="M61" s="25"/>
      <c r="N61" s="25"/>
      <c r="O61" s="25"/>
      <c r="P61" s="25"/>
      <c r="Q61" s="25"/>
    </row>
    <row r="62" spans="1:17" ht="13" outlineLevel="1" x14ac:dyDescent="0.3">
      <c r="A62" s="65" t="s">
        <v>347</v>
      </c>
      <c r="B62" s="65"/>
      <c r="C62" s="46">
        <v>0</v>
      </c>
      <c r="D62" s="46">
        <v>0</v>
      </c>
      <c r="E62" s="46">
        <v>0</v>
      </c>
      <c r="F62" s="46">
        <v>0</v>
      </c>
      <c r="G62" s="46">
        <v>0</v>
      </c>
      <c r="H62" s="46">
        <v>0</v>
      </c>
      <c r="I62" s="46">
        <v>57.829000000000001</v>
      </c>
      <c r="J62" s="46">
        <v>80.421999999999997</v>
      </c>
      <c r="L62" s="25"/>
      <c r="M62" s="25"/>
      <c r="N62" s="25"/>
      <c r="O62" s="25"/>
      <c r="P62" s="25"/>
      <c r="Q62" s="25"/>
    </row>
    <row r="63" spans="1:17" s="25" customFormat="1" ht="13" x14ac:dyDescent="0.3">
      <c r="A63" s="95" t="s">
        <v>68</v>
      </c>
      <c r="B63" s="95"/>
      <c r="C63" s="92">
        <f>IFERROR(C47+C48+C50+C51+C52+C53+C54+C57+C58+C61+C62,"n.a.")</f>
        <v>3529.1210000000001</v>
      </c>
      <c r="D63" s="92">
        <f t="shared" ref="D63:J63" si="46">IFERROR(D47+D48+D50+D51+D52+D53+D54+D57+D58+D61+D62,"n.a.")</f>
        <v>3346.0610000000001</v>
      </c>
      <c r="E63" s="92">
        <f t="shared" si="46"/>
        <v>9488.509</v>
      </c>
      <c r="F63" s="92">
        <f t="shared" si="46"/>
        <v>10685.921000000002</v>
      </c>
      <c r="G63" s="92">
        <f t="shared" si="46"/>
        <v>9464.766999999998</v>
      </c>
      <c r="H63" s="98">
        <f t="shared" si="46"/>
        <v>9353.8790000000008</v>
      </c>
      <c r="I63" s="98">
        <f t="shared" si="46"/>
        <v>10012.866</v>
      </c>
      <c r="J63" s="98">
        <f t="shared" si="46"/>
        <v>9453.8169999999991</v>
      </c>
      <c r="K63" s="2"/>
    </row>
    <row r="64" spans="1:17" ht="13" outlineLevel="1" x14ac:dyDescent="0.3">
      <c r="A64" s="65" t="s">
        <v>51</v>
      </c>
      <c r="B64" s="65"/>
      <c r="C64" s="46">
        <v>850.45600000000002</v>
      </c>
      <c r="D64" s="46">
        <v>848.577</v>
      </c>
      <c r="E64" s="46">
        <v>873.96199999999999</v>
      </c>
      <c r="F64" s="46">
        <v>1055.6389999999999</v>
      </c>
      <c r="G64" s="46">
        <v>940.66800000000001</v>
      </c>
      <c r="H64" s="71">
        <v>1128.4659999999999</v>
      </c>
      <c r="I64" s="71">
        <v>1093.7539999999999</v>
      </c>
      <c r="J64" s="71">
        <v>836.43700000000001</v>
      </c>
      <c r="L64" s="25"/>
      <c r="M64" s="25"/>
      <c r="N64" s="25"/>
      <c r="O64" s="25"/>
      <c r="P64" s="25"/>
      <c r="Q64" s="25"/>
    </row>
    <row r="65" spans="1:17" ht="13" outlineLevel="1" x14ac:dyDescent="0.3">
      <c r="A65" s="65" t="s">
        <v>52</v>
      </c>
      <c r="B65" s="65"/>
      <c r="C65" s="46">
        <v>566.30399999999997</v>
      </c>
      <c r="D65" s="46">
        <v>583.529</v>
      </c>
      <c r="E65" s="46">
        <v>680.06899999999996</v>
      </c>
      <c r="F65" s="46">
        <v>679.32100000000003</v>
      </c>
      <c r="G65" s="46">
        <v>652.48699999999997</v>
      </c>
      <c r="H65" s="71">
        <v>627.96799999999996</v>
      </c>
      <c r="I65" s="71">
        <v>649.39400000000001</v>
      </c>
      <c r="J65" s="71">
        <v>597.66899999999998</v>
      </c>
      <c r="L65" s="25"/>
      <c r="M65" s="25"/>
      <c r="N65" s="25"/>
      <c r="O65" s="25"/>
      <c r="P65" s="25"/>
      <c r="Q65" s="25"/>
    </row>
    <row r="66" spans="1:17" ht="13" hidden="1" outlineLevel="2" x14ac:dyDescent="0.3">
      <c r="A66" s="93" t="s">
        <v>133</v>
      </c>
      <c r="B66" s="93"/>
      <c r="C66" s="46">
        <v>40.142000000000003</v>
      </c>
      <c r="D66" s="46">
        <v>7.2140000000000004</v>
      </c>
      <c r="E66" s="46">
        <v>60.985999999999997</v>
      </c>
      <c r="F66" s="46">
        <v>29.951000000000001</v>
      </c>
      <c r="G66" s="46">
        <v>36.511000000000003</v>
      </c>
      <c r="H66" s="71">
        <v>27.32</v>
      </c>
      <c r="I66" s="71">
        <v>35.503</v>
      </c>
      <c r="J66" s="71">
        <v>102.574</v>
      </c>
      <c r="L66" s="25"/>
      <c r="M66" s="25"/>
      <c r="N66" s="25"/>
      <c r="O66" s="25"/>
      <c r="P66" s="25"/>
      <c r="Q66" s="25"/>
    </row>
    <row r="67" spans="1:17" ht="13" hidden="1" outlineLevel="2" x14ac:dyDescent="0.3">
      <c r="A67" s="93" t="s">
        <v>134</v>
      </c>
      <c r="B67" s="93"/>
      <c r="C67" s="46">
        <v>192.38200000000001</v>
      </c>
      <c r="D67" s="46">
        <v>129.53200000000001</v>
      </c>
      <c r="E67" s="46">
        <v>303.83100000000002</v>
      </c>
      <c r="F67" s="46">
        <v>245.67100000000002</v>
      </c>
      <c r="G67" s="46">
        <v>364.02799999999996</v>
      </c>
      <c r="H67" s="71">
        <v>389.33100000000002</v>
      </c>
      <c r="I67" s="71">
        <v>416.35500000000002</v>
      </c>
      <c r="J67" s="71">
        <v>366.62</v>
      </c>
      <c r="L67" s="25"/>
      <c r="M67" s="25"/>
      <c r="N67" s="25"/>
      <c r="O67" s="25"/>
      <c r="P67" s="25"/>
      <c r="Q67" s="25"/>
    </row>
    <row r="68" spans="1:17" ht="13" outlineLevel="1" collapsed="1" x14ac:dyDescent="0.3">
      <c r="A68" s="65" t="s">
        <v>66</v>
      </c>
      <c r="B68" s="65"/>
      <c r="C68" s="84">
        <f t="shared" ref="C68:G68" si="47">IFERROR(C66+C67,"n.a.")</f>
        <v>232.524</v>
      </c>
      <c r="D68" s="84">
        <f t="shared" si="47"/>
        <v>136.74600000000001</v>
      </c>
      <c r="E68" s="84">
        <f t="shared" si="47"/>
        <v>364.81700000000001</v>
      </c>
      <c r="F68" s="84">
        <f t="shared" si="47"/>
        <v>275.62200000000001</v>
      </c>
      <c r="G68" s="84">
        <f t="shared" si="47"/>
        <v>400.53899999999999</v>
      </c>
      <c r="H68" s="83">
        <f>IFERROR(H66+H67,"n.a.")</f>
        <v>416.65100000000001</v>
      </c>
      <c r="I68" s="83">
        <f>IFERROR(I66+I67,"n.a.")</f>
        <v>451.858</v>
      </c>
      <c r="J68" s="83">
        <f>IFERROR(J66+J67,"n.a.")</f>
        <v>469.19400000000002</v>
      </c>
      <c r="L68" s="25"/>
      <c r="M68" s="25"/>
      <c r="N68" s="25"/>
      <c r="O68" s="25"/>
      <c r="P68" s="25"/>
      <c r="Q68" s="25"/>
    </row>
    <row r="69" spans="1:17" ht="13" outlineLevel="1" x14ac:dyDescent="0.3">
      <c r="A69" s="65" t="s">
        <v>242</v>
      </c>
      <c r="B69" s="65"/>
      <c r="C69" s="71">
        <v>0</v>
      </c>
      <c r="D69" s="46">
        <v>0</v>
      </c>
      <c r="E69" s="46">
        <v>0</v>
      </c>
      <c r="F69" s="46">
        <v>0</v>
      </c>
      <c r="G69" s="46">
        <v>0</v>
      </c>
      <c r="H69" s="71">
        <v>27.196000000000002</v>
      </c>
      <c r="I69" s="71">
        <v>38.119</v>
      </c>
      <c r="J69" s="71">
        <v>58.944000000000003</v>
      </c>
      <c r="L69" s="25"/>
      <c r="M69" s="25"/>
      <c r="N69" s="25"/>
      <c r="O69" s="25"/>
      <c r="P69" s="25"/>
      <c r="Q69" s="25"/>
    </row>
    <row r="70" spans="1:17" ht="13" outlineLevel="1" x14ac:dyDescent="0.3">
      <c r="A70" s="65" t="s">
        <v>69</v>
      </c>
      <c r="B70" s="65"/>
      <c r="C70" s="71">
        <v>61.404000000000003</v>
      </c>
      <c r="D70" s="46">
        <v>78.167000000000002</v>
      </c>
      <c r="E70" s="46">
        <v>48.597000000000001</v>
      </c>
      <c r="F70" s="46">
        <v>48.597000000000001</v>
      </c>
      <c r="G70" s="46">
        <v>33.027000000000001</v>
      </c>
      <c r="H70" s="71">
        <v>0</v>
      </c>
      <c r="I70" s="71">
        <v>0</v>
      </c>
      <c r="J70" s="71">
        <v>0</v>
      </c>
      <c r="L70" s="25"/>
      <c r="M70" s="25"/>
      <c r="N70" s="25"/>
      <c r="O70" s="25"/>
      <c r="P70" s="25"/>
      <c r="Q70" s="25"/>
    </row>
    <row r="71" spans="1:17" ht="13" outlineLevel="1" x14ac:dyDescent="0.3">
      <c r="A71" s="65" t="s">
        <v>70</v>
      </c>
      <c r="B71" s="65"/>
      <c r="C71" s="71">
        <v>892.57299999999998</v>
      </c>
      <c r="D71" s="46">
        <v>840.89700000000005</v>
      </c>
      <c r="E71" s="46">
        <v>1397.38</v>
      </c>
      <c r="F71" s="46">
        <v>1532.9770000000001</v>
      </c>
      <c r="G71" s="46">
        <v>1118.4369999999999</v>
      </c>
      <c r="H71" s="71">
        <v>1326.9</v>
      </c>
      <c r="I71" s="71">
        <v>1609.8209999999999</v>
      </c>
      <c r="J71" s="71">
        <v>2275.4760000000001</v>
      </c>
      <c r="L71" s="25"/>
      <c r="M71" s="25"/>
      <c r="N71" s="25"/>
      <c r="O71" s="25"/>
      <c r="P71" s="25"/>
      <c r="Q71" s="25"/>
    </row>
    <row r="72" spans="1:17" ht="13" outlineLevel="1" x14ac:dyDescent="0.3">
      <c r="A72" s="65" t="s">
        <v>67</v>
      </c>
      <c r="B72" s="65"/>
      <c r="C72" s="46">
        <v>72.433000000000007</v>
      </c>
      <c r="D72" s="46">
        <v>61.573</v>
      </c>
      <c r="E72" s="46">
        <v>63.088999999999999</v>
      </c>
      <c r="F72" s="46">
        <v>64.394999999999996</v>
      </c>
      <c r="G72" s="46">
        <v>35.460999999999999</v>
      </c>
      <c r="H72" s="71">
        <v>41.393000000000001</v>
      </c>
      <c r="I72" s="71">
        <v>41.494</v>
      </c>
      <c r="J72" s="71">
        <v>29.152999999999999</v>
      </c>
      <c r="L72" s="25"/>
      <c r="M72" s="25"/>
      <c r="N72" s="25"/>
      <c r="O72" s="25"/>
      <c r="P72" s="25"/>
      <c r="Q72" s="25"/>
    </row>
    <row r="73" spans="1:17" ht="13" hidden="1" outlineLevel="2" x14ac:dyDescent="0.3">
      <c r="A73" s="93" t="s">
        <v>321</v>
      </c>
      <c r="B73" s="93"/>
      <c r="C73" s="46">
        <v>6.0750000000000002</v>
      </c>
      <c r="D73" s="46">
        <v>6.84</v>
      </c>
      <c r="E73" s="46">
        <v>3.718</v>
      </c>
      <c r="F73" s="46">
        <v>3.718</v>
      </c>
      <c r="G73" s="46">
        <v>21.413</v>
      </c>
      <c r="H73" s="71">
        <v>91.245000000000005</v>
      </c>
      <c r="I73" s="71">
        <v>32.090000000000003</v>
      </c>
      <c r="J73" s="71">
        <v>34.765999999999998</v>
      </c>
      <c r="L73" s="25"/>
      <c r="M73" s="25"/>
      <c r="N73" s="25"/>
      <c r="O73" s="25"/>
      <c r="P73" s="25"/>
      <c r="Q73" s="25"/>
    </row>
    <row r="74" spans="1:17" ht="13" hidden="1" outlineLevel="2" x14ac:dyDescent="0.3">
      <c r="A74" s="93" t="s">
        <v>320</v>
      </c>
      <c r="B74" s="93"/>
      <c r="C74" s="46">
        <v>17.411999999999999</v>
      </c>
      <c r="D74" s="46">
        <v>51.399000000000001</v>
      </c>
      <c r="E74" s="46">
        <v>18.065999999999999</v>
      </c>
      <c r="F74" s="46">
        <v>20.271000000000001</v>
      </c>
      <c r="G74" s="46">
        <v>6.3569999999999993</v>
      </c>
      <c r="H74" s="71">
        <v>7.3220000000000001</v>
      </c>
      <c r="I74" s="71">
        <v>5.0579999999999998</v>
      </c>
      <c r="J74" s="71">
        <v>4.5609999999999999</v>
      </c>
      <c r="L74" s="25"/>
      <c r="M74" s="25"/>
      <c r="N74" s="25"/>
      <c r="O74" s="25"/>
      <c r="P74" s="25"/>
      <c r="Q74" s="25"/>
    </row>
    <row r="75" spans="1:17" ht="13" outlineLevel="1" collapsed="1" x14ac:dyDescent="0.3">
      <c r="A75" s="65" t="s">
        <v>71</v>
      </c>
      <c r="B75" s="65"/>
      <c r="C75" s="84">
        <f t="shared" ref="C75:G75" si="48">IFERROR(C73+C74,"n.a.")</f>
        <v>23.486999999999998</v>
      </c>
      <c r="D75" s="84">
        <f t="shared" si="48"/>
        <v>58.239000000000004</v>
      </c>
      <c r="E75" s="84">
        <f t="shared" si="48"/>
        <v>21.783999999999999</v>
      </c>
      <c r="F75" s="84">
        <f t="shared" si="48"/>
        <v>23.989000000000001</v>
      </c>
      <c r="G75" s="84">
        <f t="shared" si="48"/>
        <v>27.77</v>
      </c>
      <c r="H75" s="84">
        <f>IFERROR(H73+H74,"n.a.")</f>
        <v>98.567000000000007</v>
      </c>
      <c r="I75" s="84">
        <f>IFERROR(I73+I74,"n.a.")</f>
        <v>37.148000000000003</v>
      </c>
      <c r="J75" s="84">
        <f>IFERROR(J73+J74,"n.a.")</f>
        <v>39.326999999999998</v>
      </c>
      <c r="L75" s="25"/>
      <c r="M75" s="25"/>
      <c r="N75" s="25"/>
      <c r="O75" s="25"/>
      <c r="P75" s="25"/>
      <c r="Q75" s="25"/>
    </row>
    <row r="76" spans="1:17" s="25" customFormat="1" ht="13" x14ac:dyDescent="0.3">
      <c r="A76" s="95" t="s">
        <v>72</v>
      </c>
      <c r="B76" s="95"/>
      <c r="C76" s="92">
        <f>IFERROR(C64+C65+C68+C69+C70+C71+C72+C75,"n.a.")</f>
        <v>2699.181</v>
      </c>
      <c r="D76" s="92">
        <f t="shared" ref="D76:G76" si="49">IFERROR(D64+D65+D68+D69+D70+D71+D72+D75,"n.a.")</f>
        <v>2607.7280000000001</v>
      </c>
      <c r="E76" s="92">
        <f t="shared" si="49"/>
        <v>3449.6979999999999</v>
      </c>
      <c r="F76" s="92">
        <f t="shared" si="49"/>
        <v>3680.54</v>
      </c>
      <c r="G76" s="92">
        <f t="shared" si="49"/>
        <v>3208.3889999999997</v>
      </c>
      <c r="H76" s="92">
        <f>IFERROR(H64+H65+H68+H69+H70+H71+H72+H75,"n.a.")</f>
        <v>3667.1409999999996</v>
      </c>
      <c r="I76" s="92">
        <f>IFERROR(I64+I65+I68+I69+I70+I71+I72+I75,"n.a.")</f>
        <v>3921.5880000000002</v>
      </c>
      <c r="J76" s="92">
        <f>IFERROR(J64+J65+J68+J69+J70+J71+J72+J75,"n.a.")</f>
        <v>4306.2000000000007</v>
      </c>
      <c r="K76" s="2"/>
    </row>
    <row r="77" spans="1:17" ht="13" outlineLevel="1" x14ac:dyDescent="0.3">
      <c r="A77" s="188" t="s">
        <v>2</v>
      </c>
      <c r="B77" s="32"/>
      <c r="C77" s="46">
        <v>44.036999999999999</v>
      </c>
      <c r="D77" s="46">
        <v>0</v>
      </c>
      <c r="E77" s="46">
        <v>0</v>
      </c>
      <c r="F77" s="46">
        <v>0</v>
      </c>
      <c r="G77" s="46">
        <v>60.728999999999999</v>
      </c>
      <c r="H77" s="46">
        <v>10.677</v>
      </c>
      <c r="I77" s="46">
        <v>0</v>
      </c>
      <c r="J77" s="46">
        <v>0</v>
      </c>
      <c r="L77" s="25"/>
      <c r="M77" s="25"/>
      <c r="N77" s="25"/>
      <c r="O77" s="25"/>
      <c r="P77" s="25"/>
      <c r="Q77" s="25"/>
    </row>
    <row r="78" spans="1:17" s="25" customFormat="1" ht="13" x14ac:dyDescent="0.3">
      <c r="A78" s="103" t="s">
        <v>3</v>
      </c>
      <c r="B78" s="103"/>
      <c r="C78" s="104">
        <f t="shared" ref="C78:G78" si="50">IFERROR(C63+C76+C77,"n.a.")</f>
        <v>6272.3389999999999</v>
      </c>
      <c r="D78" s="104">
        <f t="shared" si="50"/>
        <v>5953.7890000000007</v>
      </c>
      <c r="E78" s="104">
        <f t="shared" si="50"/>
        <v>12938.207</v>
      </c>
      <c r="F78" s="104">
        <f t="shared" si="50"/>
        <v>14366.461000000003</v>
      </c>
      <c r="G78" s="104">
        <f t="shared" si="50"/>
        <v>12733.884999999997</v>
      </c>
      <c r="H78" s="104">
        <f>IFERROR(H63+H76+H77,"n.a.")</f>
        <v>13031.697</v>
      </c>
      <c r="I78" s="104">
        <f>IFERROR(I63+I76+I77,"n.a.")</f>
        <v>13934.454</v>
      </c>
      <c r="J78" s="104">
        <f>IFERROR(J63+J76+J77,"n.a.")</f>
        <v>13760.017</v>
      </c>
      <c r="K78" s="2"/>
    </row>
    <row r="79" spans="1:17" ht="13" x14ac:dyDescent="0.3">
      <c r="G79" s="44"/>
      <c r="H79" s="44"/>
      <c r="I79" s="44"/>
      <c r="J79" s="44"/>
      <c r="L79" s="25"/>
      <c r="M79" s="25"/>
      <c r="N79" s="25"/>
      <c r="O79" s="25"/>
      <c r="P79" s="25"/>
      <c r="Q79" s="25"/>
    </row>
    <row r="81" spans="1:11" ht="13.5" thickBot="1" x14ac:dyDescent="0.35">
      <c r="A81" s="12" t="s">
        <v>76</v>
      </c>
      <c r="B81" s="12"/>
      <c r="C81" s="14" t="str">
        <f t="shared" ref="C81:I82" si="51">C4</f>
        <v>FY 2014</v>
      </c>
      <c r="D81" s="14" t="str">
        <f t="shared" si="51"/>
        <v>FY 2015</v>
      </c>
      <c r="E81" s="14" t="str">
        <f t="shared" si="51"/>
        <v>FY 2016</v>
      </c>
      <c r="F81" s="14" t="str">
        <f t="shared" si="51"/>
        <v>FY 2016</v>
      </c>
      <c r="G81" s="14" t="str">
        <f t="shared" si="51"/>
        <v>FY 2017</v>
      </c>
      <c r="H81" s="14" t="str">
        <f t="shared" si="51"/>
        <v>FY 2018</v>
      </c>
      <c r="I81" s="14" t="str">
        <f t="shared" si="51"/>
        <v>FY 2019</v>
      </c>
      <c r="J81" s="14" t="str">
        <f t="shared" ref="J81" si="52">J4</f>
        <v>FY 2020</v>
      </c>
    </row>
    <row r="82" spans="1:11" x14ac:dyDescent="0.3">
      <c r="C82" s="41" t="str">
        <f t="shared" si="51"/>
        <v>carve-out</v>
      </c>
      <c r="D82" s="41" t="str">
        <f t="shared" si="51"/>
        <v>carve-out</v>
      </c>
      <c r="E82" s="41" t="str">
        <f t="shared" si="51"/>
        <v>carve-out</v>
      </c>
      <c r="F82" s="41" t="str">
        <f t="shared" si="51"/>
        <v>restated</v>
      </c>
      <c r="G82" s="41" t="str">
        <f t="shared" si="51"/>
        <v>reported</v>
      </c>
      <c r="H82" s="41" t="str">
        <f t="shared" si="51"/>
        <v>reported</v>
      </c>
      <c r="I82" s="41" t="str">
        <f t="shared" si="51"/>
        <v>reported</v>
      </c>
      <c r="J82" s="41" t="str">
        <f t="shared" ref="J82" si="53">J5</f>
        <v>reported</v>
      </c>
    </row>
    <row r="84" spans="1:11" outlineLevel="1" x14ac:dyDescent="0.3">
      <c r="A84" s="66" t="s">
        <v>77</v>
      </c>
      <c r="B84" s="66"/>
      <c r="C84" s="45">
        <v>1745.7380000000001</v>
      </c>
      <c r="D84" s="45">
        <v>1238.3989999999999</v>
      </c>
      <c r="E84" s="45">
        <v>5886.2529999999997</v>
      </c>
      <c r="F84" s="45">
        <v>5945.9989999999998</v>
      </c>
      <c r="G84" s="45">
        <v>3897.0889999999999</v>
      </c>
      <c r="H84" s="45">
        <v>3929.0790000000002</v>
      </c>
      <c r="I84" s="45">
        <v>3949.8359999999998</v>
      </c>
      <c r="J84" s="45">
        <v>4970.9859999999999</v>
      </c>
    </row>
    <row r="85" spans="1:11" outlineLevel="1" x14ac:dyDescent="0.3">
      <c r="A85" s="65" t="s">
        <v>78</v>
      </c>
      <c r="B85" s="65"/>
      <c r="C85" s="46">
        <v>57.790999999999997</v>
      </c>
      <c r="D85" s="46">
        <v>85.394999999999996</v>
      </c>
      <c r="E85" s="46">
        <v>72.716999999999999</v>
      </c>
      <c r="F85" s="46">
        <v>87.421000000000006</v>
      </c>
      <c r="G85" s="46">
        <v>74.435000000000002</v>
      </c>
      <c r="H85" s="46">
        <v>83.287000000000006</v>
      </c>
      <c r="I85" s="46">
        <v>90.570999999999998</v>
      </c>
      <c r="J85" s="46">
        <v>77.28</v>
      </c>
    </row>
    <row r="86" spans="1:11" outlineLevel="1" x14ac:dyDescent="0.3">
      <c r="A86" s="65" t="s">
        <v>79</v>
      </c>
      <c r="B86" s="65"/>
      <c r="C86" s="46">
        <v>70.119</v>
      </c>
      <c r="D86" s="46">
        <v>55.91</v>
      </c>
      <c r="E86" s="46">
        <v>139.98699999999999</v>
      </c>
      <c r="F86" s="46">
        <v>170.99199999999999</v>
      </c>
      <c r="G86" s="46">
        <v>127.124</v>
      </c>
      <c r="H86" s="46">
        <v>138.327</v>
      </c>
      <c r="I86" s="46">
        <v>120.46899999999999</v>
      </c>
      <c r="J86" s="46">
        <v>73.257000000000005</v>
      </c>
    </row>
    <row r="87" spans="1:11" outlineLevel="1" x14ac:dyDescent="0.3">
      <c r="A87" s="65" t="s">
        <v>348</v>
      </c>
      <c r="B87" s="65"/>
      <c r="C87" s="46">
        <v>33.539000000000001</v>
      </c>
      <c r="D87" s="46">
        <v>29.617999999999999</v>
      </c>
      <c r="E87" s="46">
        <v>1337.7059999999999</v>
      </c>
      <c r="F87" s="46">
        <v>1452.1690000000001</v>
      </c>
      <c r="G87" s="46">
        <v>1216.635</v>
      </c>
      <c r="H87" s="46">
        <v>1081.605</v>
      </c>
      <c r="I87" s="46">
        <v>1058.76</v>
      </c>
      <c r="J87" s="46">
        <v>1006.799</v>
      </c>
    </row>
    <row r="88" spans="1:11" outlineLevel="1" x14ac:dyDescent="0.3">
      <c r="A88" s="65" t="s">
        <v>349</v>
      </c>
      <c r="B88" s="65"/>
      <c r="C88" s="46">
        <v>441.173</v>
      </c>
      <c r="D88" s="46">
        <v>343.63900000000001</v>
      </c>
      <c r="E88" s="46">
        <v>350.12400000000002</v>
      </c>
      <c r="F88" s="46">
        <v>368.1</v>
      </c>
      <c r="G88" s="46">
        <v>274.03699999999998</v>
      </c>
      <c r="H88" s="46">
        <v>224.31200000000001</v>
      </c>
      <c r="I88" s="46">
        <v>260.83199999999999</v>
      </c>
      <c r="J88" s="46">
        <v>243.93100000000001</v>
      </c>
    </row>
    <row r="89" spans="1:11" outlineLevel="1" x14ac:dyDescent="0.3">
      <c r="A89" s="65" t="s">
        <v>80</v>
      </c>
      <c r="B89" s="65"/>
      <c r="C89" s="46">
        <v>3.3969999999999998</v>
      </c>
      <c r="D89" s="46">
        <v>2.6459999999999999</v>
      </c>
      <c r="E89" s="46">
        <v>2.66</v>
      </c>
      <c r="F89" s="46">
        <v>3.3740000000000001</v>
      </c>
      <c r="G89" s="46">
        <v>2.399</v>
      </c>
      <c r="H89" s="46">
        <v>2.0910000000000002</v>
      </c>
      <c r="I89" s="46">
        <v>12.555</v>
      </c>
      <c r="J89" s="46">
        <v>10.795</v>
      </c>
    </row>
    <row r="90" spans="1:11" hidden="1" outlineLevel="2" x14ac:dyDescent="0.3">
      <c r="A90" s="65" t="s">
        <v>257</v>
      </c>
      <c r="B90" s="65"/>
      <c r="C90" s="46">
        <v>0</v>
      </c>
      <c r="D90" s="46">
        <v>0</v>
      </c>
      <c r="E90" s="46">
        <v>0</v>
      </c>
      <c r="F90" s="46">
        <v>0</v>
      </c>
      <c r="G90" s="46">
        <v>54.963000000000001</v>
      </c>
      <c r="H90" s="46">
        <v>13.738</v>
      </c>
      <c r="I90" s="71">
        <v>10.327</v>
      </c>
      <c r="J90" s="71">
        <v>87.600999999999999</v>
      </c>
    </row>
    <row r="91" spans="1:11" hidden="1" outlineLevel="2" x14ac:dyDescent="0.3">
      <c r="A91" s="65" t="s">
        <v>258</v>
      </c>
      <c r="B91" s="65"/>
      <c r="C91" s="46">
        <v>0</v>
      </c>
      <c r="D91" s="46">
        <v>0</v>
      </c>
      <c r="E91" s="46">
        <v>0</v>
      </c>
      <c r="F91" s="46">
        <v>0</v>
      </c>
      <c r="G91" s="46">
        <v>0</v>
      </c>
      <c r="H91" s="46">
        <v>2.3010000000000019</v>
      </c>
      <c r="I91" s="71">
        <v>0</v>
      </c>
      <c r="J91" s="71">
        <v>0</v>
      </c>
    </row>
    <row r="92" spans="1:11" outlineLevel="1" collapsed="1" x14ac:dyDescent="0.3">
      <c r="A92" s="121" t="s">
        <v>71</v>
      </c>
      <c r="B92" s="121"/>
      <c r="C92" s="83">
        <f t="shared" ref="C92:H92" si="54">IFERROR(C90+C91,"n.a.")</f>
        <v>0</v>
      </c>
      <c r="D92" s="83">
        <f t="shared" si="54"/>
        <v>0</v>
      </c>
      <c r="E92" s="83">
        <f t="shared" si="54"/>
        <v>0</v>
      </c>
      <c r="F92" s="83">
        <f t="shared" si="54"/>
        <v>0</v>
      </c>
      <c r="G92" s="83">
        <f t="shared" si="54"/>
        <v>54.963000000000001</v>
      </c>
      <c r="H92" s="83">
        <f t="shared" si="54"/>
        <v>16.039000000000001</v>
      </c>
      <c r="I92" s="83">
        <f t="shared" ref="I92:J92" si="55">IFERROR(I90+I91,"n.a.")</f>
        <v>10.327</v>
      </c>
      <c r="J92" s="83">
        <f t="shared" si="55"/>
        <v>87.600999999999999</v>
      </c>
    </row>
    <row r="93" spans="1:11" s="25" customFormat="1" ht="13" x14ac:dyDescent="0.3">
      <c r="A93" s="95" t="s">
        <v>5</v>
      </c>
      <c r="B93" s="95"/>
      <c r="C93" s="92">
        <f>IFERROR(C84+C85+C86+C87+C88+C89+C92,"n.a.")</f>
        <v>2351.7569999999996</v>
      </c>
      <c r="D93" s="92">
        <f t="shared" ref="D93:G93" si="56">IFERROR(D84+D85+D86+D87+D88+D89+D92,"n.a.")</f>
        <v>1755.6069999999997</v>
      </c>
      <c r="E93" s="92">
        <f t="shared" si="56"/>
        <v>7789.4469999999992</v>
      </c>
      <c r="F93" s="92">
        <f t="shared" si="56"/>
        <v>8028.0550000000003</v>
      </c>
      <c r="G93" s="92">
        <f t="shared" si="56"/>
        <v>5646.6820000000007</v>
      </c>
      <c r="H93" s="92">
        <f>IFERROR(H84+H85+H86+H87+H88+H89+H92,"n.a.")</f>
        <v>5474.7400000000007</v>
      </c>
      <c r="I93" s="92">
        <f>IFERROR(I84+I85+I86+I87+I88+I89+I92,"n.a.")</f>
        <v>5503.35</v>
      </c>
      <c r="J93" s="92">
        <f>IFERROR(J84+J85+J86+J87+J88+J89+J92,"n.a.")</f>
        <v>6470.6489999999985</v>
      </c>
      <c r="K93" s="2"/>
    </row>
    <row r="94" spans="1:11" outlineLevel="1" x14ac:dyDescent="0.3">
      <c r="A94" s="65" t="s">
        <v>77</v>
      </c>
      <c r="B94" s="65"/>
      <c r="C94" s="46">
        <v>342.92700000000002</v>
      </c>
      <c r="D94" s="46">
        <v>963.62400000000002</v>
      </c>
      <c r="E94" s="46">
        <v>634.38099999999997</v>
      </c>
      <c r="F94" s="46">
        <v>642.04700000000003</v>
      </c>
      <c r="G94" s="46">
        <v>559.16800000000001</v>
      </c>
      <c r="H94" s="46">
        <v>800.14499999999998</v>
      </c>
      <c r="I94" s="46">
        <v>1419.403</v>
      </c>
      <c r="J94" s="46">
        <v>883.56700000000001</v>
      </c>
    </row>
    <row r="95" spans="1:11" outlineLevel="1" x14ac:dyDescent="0.3">
      <c r="A95" s="65" t="s">
        <v>53</v>
      </c>
      <c r="B95" s="65"/>
      <c r="C95" s="46">
        <v>1242.607</v>
      </c>
      <c r="D95" s="46">
        <v>1172.577</v>
      </c>
      <c r="E95" s="46">
        <v>1280.4829999999999</v>
      </c>
      <c r="F95" s="46">
        <v>1498.492</v>
      </c>
      <c r="G95" s="46">
        <v>1673.6420000000001</v>
      </c>
      <c r="H95" s="46">
        <v>1604.6769999999999</v>
      </c>
      <c r="I95" s="46">
        <v>1611.4880000000001</v>
      </c>
      <c r="J95" s="46">
        <v>1267.971</v>
      </c>
    </row>
    <row r="96" spans="1:11" outlineLevel="1" x14ac:dyDescent="0.3">
      <c r="A96" s="65" t="s">
        <v>238</v>
      </c>
      <c r="B96" s="65"/>
      <c r="C96" s="46">
        <v>0</v>
      </c>
      <c r="D96" s="46">
        <v>0</v>
      </c>
      <c r="E96" s="46">
        <v>0</v>
      </c>
      <c r="F96" s="46">
        <v>0</v>
      </c>
      <c r="G96" s="46">
        <v>0</v>
      </c>
      <c r="H96" s="46">
        <v>0</v>
      </c>
      <c r="I96" s="46">
        <v>0</v>
      </c>
      <c r="J96" s="46">
        <v>0</v>
      </c>
    </row>
    <row r="97" spans="1:11" outlineLevel="1" x14ac:dyDescent="0.3">
      <c r="A97" s="65" t="s">
        <v>78</v>
      </c>
      <c r="B97" s="65"/>
      <c r="C97" s="46">
        <v>296.178</v>
      </c>
      <c r="D97" s="46">
        <v>273.28199999999998</v>
      </c>
      <c r="E97" s="46">
        <v>491.70100000000002</v>
      </c>
      <c r="F97" s="46">
        <v>783.07899999999995</v>
      </c>
      <c r="G97" s="46">
        <v>565.255</v>
      </c>
      <c r="H97" s="46">
        <v>436.75200000000001</v>
      </c>
      <c r="I97" s="46">
        <v>402.75700000000001</v>
      </c>
      <c r="J97" s="46">
        <v>374.26600000000002</v>
      </c>
    </row>
    <row r="98" spans="1:11" outlineLevel="1" x14ac:dyDescent="0.3">
      <c r="A98" s="65" t="s">
        <v>79</v>
      </c>
      <c r="B98" s="65"/>
      <c r="C98" s="46">
        <v>59.197000000000003</v>
      </c>
      <c r="D98" s="46">
        <v>53.398000000000003</v>
      </c>
      <c r="E98" s="46">
        <v>38.357999999999997</v>
      </c>
      <c r="F98" s="46">
        <v>45.987000000000002</v>
      </c>
      <c r="G98" s="46">
        <v>45.832999999999998</v>
      </c>
      <c r="H98" s="46">
        <v>33.875999999999998</v>
      </c>
      <c r="I98" s="46">
        <v>43.527999999999999</v>
      </c>
      <c r="J98" s="46">
        <v>48.082999999999998</v>
      </c>
    </row>
    <row r="99" spans="1:11" outlineLevel="1" x14ac:dyDescent="0.3">
      <c r="A99" s="65" t="s">
        <v>349</v>
      </c>
      <c r="B99" s="65"/>
      <c r="C99" s="46">
        <v>0</v>
      </c>
      <c r="D99" s="46">
        <v>0</v>
      </c>
      <c r="E99" s="46">
        <v>0</v>
      </c>
      <c r="F99" s="46">
        <v>0</v>
      </c>
      <c r="G99" s="46">
        <v>0</v>
      </c>
      <c r="H99" s="46">
        <v>5.4749999999999996</v>
      </c>
      <c r="I99" s="46">
        <v>4.1040000000000001</v>
      </c>
      <c r="J99" s="46">
        <v>5.0129999999999999</v>
      </c>
    </row>
    <row r="100" spans="1:11" outlineLevel="1" x14ac:dyDescent="0.3">
      <c r="A100" s="65" t="s">
        <v>80</v>
      </c>
      <c r="B100" s="65"/>
      <c r="C100" s="46">
        <v>80.081999999999994</v>
      </c>
      <c r="D100" s="46">
        <v>52.042000000000002</v>
      </c>
      <c r="E100" s="46">
        <v>18.218</v>
      </c>
      <c r="F100" s="46">
        <v>41.773000000000003</v>
      </c>
      <c r="G100" s="46">
        <v>48.415999999999997</v>
      </c>
      <c r="H100" s="46">
        <v>65.503</v>
      </c>
      <c r="I100" s="46">
        <v>81.766000000000005</v>
      </c>
      <c r="J100" s="46">
        <v>99.504999999999995</v>
      </c>
    </row>
    <row r="101" spans="1:11" hidden="1" outlineLevel="2" x14ac:dyDescent="0.3">
      <c r="A101" s="93" t="s">
        <v>321</v>
      </c>
      <c r="B101" s="93"/>
      <c r="C101" s="46">
        <v>4.6420000000000003</v>
      </c>
      <c r="D101" s="46">
        <v>15.148999999999999</v>
      </c>
      <c r="E101" s="46">
        <v>35.414000000000001</v>
      </c>
      <c r="F101" s="46">
        <v>35.741999999999997</v>
      </c>
      <c r="G101" s="46">
        <v>11.247999999999999</v>
      </c>
      <c r="H101" s="46">
        <v>53.51</v>
      </c>
      <c r="I101" s="71">
        <v>31.702999999999999</v>
      </c>
      <c r="J101" s="71">
        <v>53.926000000000002</v>
      </c>
    </row>
    <row r="102" spans="1:11" hidden="1" outlineLevel="2" x14ac:dyDescent="0.3">
      <c r="A102" s="93" t="s">
        <v>320</v>
      </c>
      <c r="B102" s="93"/>
      <c r="C102" s="46">
        <v>31.808000000000003</v>
      </c>
      <c r="D102" s="46">
        <v>31.68</v>
      </c>
      <c r="E102" s="46">
        <v>16.841999999999999</v>
      </c>
      <c r="F102" s="46">
        <v>16.428000000000004</v>
      </c>
      <c r="G102" s="46">
        <v>6.6620000000000008</v>
      </c>
      <c r="H102" s="46">
        <v>6.0919999999999987</v>
      </c>
      <c r="I102" s="71">
        <v>9.7240000000000002</v>
      </c>
      <c r="J102" s="71">
        <v>5.1869999999999976</v>
      </c>
    </row>
    <row r="103" spans="1:11" outlineLevel="1" collapsed="1" x14ac:dyDescent="0.3">
      <c r="A103" s="65" t="s">
        <v>71</v>
      </c>
      <c r="B103" s="65"/>
      <c r="C103" s="84">
        <f t="shared" ref="C103:H103" si="57">IFERROR(C101+C102,"n.a.")</f>
        <v>36.450000000000003</v>
      </c>
      <c r="D103" s="84">
        <f t="shared" si="57"/>
        <v>46.829000000000001</v>
      </c>
      <c r="E103" s="84">
        <f t="shared" si="57"/>
        <v>52.256</v>
      </c>
      <c r="F103" s="84">
        <f t="shared" si="57"/>
        <v>52.17</v>
      </c>
      <c r="G103" s="84">
        <f t="shared" si="57"/>
        <v>17.91</v>
      </c>
      <c r="H103" s="84">
        <f t="shared" si="57"/>
        <v>59.601999999999997</v>
      </c>
      <c r="I103" s="84">
        <f t="shared" ref="I103:J103" si="58">IFERROR(I101+I102,"n.a.")</f>
        <v>41.427</v>
      </c>
      <c r="J103" s="84">
        <f t="shared" si="58"/>
        <v>59.113</v>
      </c>
    </row>
    <row r="104" spans="1:11" s="25" customFormat="1" ht="13" x14ac:dyDescent="0.3">
      <c r="A104" s="95" t="s">
        <v>6</v>
      </c>
      <c r="B104" s="95"/>
      <c r="C104" s="92">
        <f t="shared" ref="C104:G104" si="59">IFERROR(C94+C95+C96+C97+C98+C99+C100+C103,"n.a.")</f>
        <v>2057.4409999999998</v>
      </c>
      <c r="D104" s="92">
        <f t="shared" si="59"/>
        <v>2561.7520000000004</v>
      </c>
      <c r="E104" s="92">
        <f t="shared" si="59"/>
        <v>2515.3969999999999</v>
      </c>
      <c r="F104" s="92">
        <f t="shared" si="59"/>
        <v>3063.5479999999998</v>
      </c>
      <c r="G104" s="92">
        <f t="shared" si="59"/>
        <v>2910.2240000000002</v>
      </c>
      <c r="H104" s="92">
        <f>IFERROR(H94+H95+H96+H97+H98+H99+H100+H103,"n.a.")</f>
        <v>3006.03</v>
      </c>
      <c r="I104" s="92">
        <f>IFERROR(I94+I95+I96+I97+I98+I99+I100+I103,"n.a.")</f>
        <v>3604.473</v>
      </c>
      <c r="J104" s="92">
        <f>IFERROR(J94+J95+J96+J97+J98+J99+J100+J103,"n.a.")</f>
        <v>2737.518</v>
      </c>
      <c r="K104" s="2"/>
    </row>
    <row r="105" spans="1:11" outlineLevel="1" x14ac:dyDescent="0.3">
      <c r="A105" s="32" t="s">
        <v>7</v>
      </c>
      <c r="B105" s="32"/>
      <c r="C105" s="46">
        <v>12.644</v>
      </c>
      <c r="D105" s="46">
        <v>0</v>
      </c>
      <c r="E105" s="46">
        <v>0</v>
      </c>
      <c r="F105" s="46">
        <v>0</v>
      </c>
      <c r="G105" s="46">
        <v>0</v>
      </c>
      <c r="H105" s="46">
        <v>0</v>
      </c>
      <c r="I105" s="46">
        <v>0</v>
      </c>
      <c r="J105" s="46">
        <v>0</v>
      </c>
    </row>
    <row r="106" spans="1:11" s="25" customFormat="1" ht="13" x14ac:dyDescent="0.3">
      <c r="A106" s="103" t="s">
        <v>81</v>
      </c>
      <c r="B106" s="103"/>
      <c r="C106" s="104">
        <f t="shared" ref="C106:G106" si="60">IFERROR(C93+C104+C105,"n.a.")</f>
        <v>4421.8419999999996</v>
      </c>
      <c r="D106" s="104">
        <f t="shared" si="60"/>
        <v>4317.3590000000004</v>
      </c>
      <c r="E106" s="104">
        <f t="shared" si="60"/>
        <v>10304.843999999999</v>
      </c>
      <c r="F106" s="104">
        <f t="shared" si="60"/>
        <v>11091.602999999999</v>
      </c>
      <c r="G106" s="104">
        <f t="shared" si="60"/>
        <v>8556.9060000000009</v>
      </c>
      <c r="H106" s="104">
        <f>IFERROR(H93+H104+H105,"n.a.")</f>
        <v>8480.77</v>
      </c>
      <c r="I106" s="104">
        <f>IFERROR(I93+I104+I105,"n.a.")</f>
        <v>9107.8230000000003</v>
      </c>
      <c r="J106" s="104">
        <f>IFERROR(J93+J104+J105,"n.a.")</f>
        <v>9208.1669999999976</v>
      </c>
      <c r="K106" s="2"/>
    </row>
    <row r="107" spans="1:11" x14ac:dyDescent="0.3">
      <c r="C107" s="44"/>
      <c r="D107" s="44"/>
      <c r="E107" s="44"/>
      <c r="F107" s="44"/>
      <c r="G107" s="44"/>
      <c r="H107" s="44"/>
      <c r="I107" s="44"/>
      <c r="J107" s="44"/>
    </row>
    <row r="108" spans="1:11" outlineLevel="1" x14ac:dyDescent="0.3">
      <c r="A108" s="66" t="s">
        <v>73</v>
      </c>
      <c r="B108" s="66"/>
      <c r="C108" s="45">
        <v>1343.2850000000001</v>
      </c>
      <c r="D108" s="45">
        <v>1343.2850000000001</v>
      </c>
      <c r="E108" s="45">
        <v>1342.2809999999999</v>
      </c>
      <c r="F108" s="45">
        <v>1342.2809999999999</v>
      </c>
      <c r="G108" s="45">
        <v>1904.375</v>
      </c>
      <c r="H108" s="45">
        <v>1904.375</v>
      </c>
      <c r="I108" s="45">
        <v>1904.375</v>
      </c>
      <c r="J108" s="45">
        <v>1904.375</v>
      </c>
    </row>
    <row r="109" spans="1:11" outlineLevel="1" x14ac:dyDescent="0.3">
      <c r="A109" s="65" t="s">
        <v>74</v>
      </c>
      <c r="B109" s="65"/>
      <c r="C109" s="46">
        <v>226.691</v>
      </c>
      <c r="D109" s="46">
        <v>623.04300000000001</v>
      </c>
      <c r="E109" s="46">
        <v>1072.5509999999999</v>
      </c>
      <c r="F109" s="46">
        <v>1656.741</v>
      </c>
      <c r="G109" s="46">
        <v>2035.991</v>
      </c>
      <c r="H109" s="46">
        <v>2132.14</v>
      </c>
      <c r="I109" s="46">
        <v>2381.94</v>
      </c>
      <c r="J109" s="46">
        <v>2513.2620000000002</v>
      </c>
    </row>
    <row r="110" spans="1:11" outlineLevel="1" x14ac:dyDescent="0.3">
      <c r="A110" s="65" t="s">
        <v>20</v>
      </c>
      <c r="B110" s="65"/>
      <c r="C110" s="46">
        <v>226.964</v>
      </c>
      <c r="D110" s="46">
        <v>-383.745</v>
      </c>
      <c r="E110" s="46">
        <v>154.809</v>
      </c>
      <c r="F110" s="46">
        <v>135.06299999999999</v>
      </c>
      <c r="G110" s="46">
        <v>176.392</v>
      </c>
      <c r="H110" s="46">
        <v>431.60599999999999</v>
      </c>
      <c r="I110" s="46">
        <v>438.13400000000001</v>
      </c>
      <c r="J110" s="46">
        <v>29.780999999999999</v>
      </c>
    </row>
    <row r="111" spans="1:11" s="25" customFormat="1" ht="13" outlineLevel="1" x14ac:dyDescent="0.3">
      <c r="A111" s="32" t="s">
        <v>15</v>
      </c>
      <c r="B111" s="32"/>
      <c r="C111" s="55">
        <f t="shared" ref="C111:G111" si="61">IFERROR(C108+C109+C110,"n.a.")</f>
        <v>1796.94</v>
      </c>
      <c r="D111" s="55">
        <f t="shared" si="61"/>
        <v>1582.5830000000001</v>
      </c>
      <c r="E111" s="55">
        <f t="shared" si="61"/>
        <v>2569.6410000000001</v>
      </c>
      <c r="F111" s="55">
        <f t="shared" si="61"/>
        <v>3134.085</v>
      </c>
      <c r="G111" s="55">
        <f t="shared" si="61"/>
        <v>4116.7579999999998</v>
      </c>
      <c r="H111" s="55">
        <f>IFERROR(H108+H109+H110,"n.a.")</f>
        <v>4468.1210000000001</v>
      </c>
      <c r="I111" s="55">
        <f>IFERROR(I108+I109+I110,"n.a.")</f>
        <v>4724.4490000000005</v>
      </c>
      <c r="J111" s="55">
        <f>IFERROR(J108+J109+J110,"n.a.")</f>
        <v>4447.4180000000006</v>
      </c>
      <c r="K111" s="2"/>
    </row>
    <row r="112" spans="1:11" outlineLevel="1" x14ac:dyDescent="0.3">
      <c r="A112" s="65" t="s">
        <v>74</v>
      </c>
      <c r="B112" s="65"/>
      <c r="C112" s="46">
        <v>42.787999999999997</v>
      </c>
      <c r="D112" s="46">
        <v>48.545000000000002</v>
      </c>
      <c r="E112" s="46">
        <v>54.543999999999997</v>
      </c>
      <c r="F112" s="46">
        <v>128.21100000000001</v>
      </c>
      <c r="G112" s="46">
        <v>60.936</v>
      </c>
      <c r="H112" s="46">
        <v>72.040000000000006</v>
      </c>
      <c r="I112" s="46">
        <v>82.619</v>
      </c>
      <c r="J112" s="46">
        <v>91.54</v>
      </c>
    </row>
    <row r="113" spans="1:11" outlineLevel="1" x14ac:dyDescent="0.3">
      <c r="A113" s="65" t="s">
        <v>20</v>
      </c>
      <c r="B113" s="65"/>
      <c r="C113" s="46">
        <v>10.769</v>
      </c>
      <c r="D113" s="46">
        <v>5.3019999999999996</v>
      </c>
      <c r="E113" s="46">
        <v>9.1780000000000008</v>
      </c>
      <c r="F113" s="46">
        <v>12.561999999999999</v>
      </c>
      <c r="G113" s="46">
        <v>-0.68500000000000005</v>
      </c>
      <c r="H113" s="46">
        <v>10.766</v>
      </c>
      <c r="I113" s="46">
        <v>19.562999999999999</v>
      </c>
      <c r="J113" s="46">
        <v>12.891999999999999</v>
      </c>
    </row>
    <row r="114" spans="1:11" s="25" customFormat="1" ht="13" outlineLevel="1" x14ac:dyDescent="0.3">
      <c r="A114" s="32" t="s">
        <v>16</v>
      </c>
      <c r="B114" s="32"/>
      <c r="C114" s="55">
        <f t="shared" ref="C114" si="62">IFERROR(C112+C113,"n.a.")</f>
        <v>53.556999999999995</v>
      </c>
      <c r="D114" s="55">
        <f t="shared" ref="D114" si="63">IFERROR(D112+D113,"n.a.")</f>
        <v>53.847000000000001</v>
      </c>
      <c r="E114" s="55">
        <f t="shared" ref="E114" si="64">IFERROR(E112+E113,"n.a.")</f>
        <v>63.721999999999994</v>
      </c>
      <c r="F114" s="55">
        <f t="shared" ref="F114" si="65">IFERROR(F112+F113,"n.a.")</f>
        <v>140.77300000000002</v>
      </c>
      <c r="G114" s="55">
        <f t="shared" ref="G114" si="66">IFERROR(G112+G113,"n.a.")</f>
        <v>60.250999999999998</v>
      </c>
      <c r="H114" s="230">
        <f t="shared" ref="H114:I114" si="67">IFERROR(H112+H113,"n.a.")</f>
        <v>82.806000000000012</v>
      </c>
      <c r="I114" s="55">
        <f t="shared" si="67"/>
        <v>102.182</v>
      </c>
      <c r="J114" s="55">
        <f t="shared" ref="J114" si="68">IFERROR(J112+J113,"n.a.")</f>
        <v>104.432</v>
      </c>
      <c r="K114" s="2"/>
    </row>
    <row r="115" spans="1:11" s="25" customFormat="1" ht="13" x14ac:dyDescent="0.3">
      <c r="A115" s="103" t="s">
        <v>4</v>
      </c>
      <c r="B115" s="103"/>
      <c r="C115" s="104">
        <f>IFERROR(C111+C114,"n.a.")</f>
        <v>1850.4970000000001</v>
      </c>
      <c r="D115" s="104">
        <f t="shared" ref="D115:G115" si="69">IFERROR(D111+D114,"n.a.")</f>
        <v>1636.43</v>
      </c>
      <c r="E115" s="104">
        <f t="shared" si="69"/>
        <v>2633.3630000000003</v>
      </c>
      <c r="F115" s="104">
        <f t="shared" si="69"/>
        <v>3274.8580000000002</v>
      </c>
      <c r="G115" s="104">
        <f t="shared" si="69"/>
        <v>4177.009</v>
      </c>
      <c r="H115" s="104">
        <f>IFERROR(H111+H114,"n.a.")</f>
        <v>4550.9269999999997</v>
      </c>
      <c r="I115" s="104">
        <f>IFERROR(I111+I114,"n.a.")</f>
        <v>4826.6310000000003</v>
      </c>
      <c r="J115" s="104">
        <f>IFERROR(J111+J114,"n.a.")</f>
        <v>4551.8500000000004</v>
      </c>
      <c r="K115" s="2"/>
    </row>
    <row r="116" spans="1:11" x14ac:dyDescent="0.3">
      <c r="C116" s="44"/>
      <c r="D116" s="44"/>
      <c r="E116" s="44"/>
      <c r="F116" s="44"/>
      <c r="G116" s="44"/>
      <c r="H116" s="44"/>
      <c r="I116" s="44"/>
      <c r="J116" s="44"/>
    </row>
    <row r="117" spans="1:11" s="25" customFormat="1" ht="13" x14ac:dyDescent="0.3">
      <c r="A117" s="103" t="s">
        <v>8</v>
      </c>
      <c r="B117" s="103"/>
      <c r="C117" s="104">
        <f t="shared" ref="C117:G117" si="70">IFERROR(C106+C115,"n.a.")</f>
        <v>6272.3389999999999</v>
      </c>
      <c r="D117" s="104">
        <f t="shared" si="70"/>
        <v>5953.7890000000007</v>
      </c>
      <c r="E117" s="104">
        <f t="shared" si="70"/>
        <v>12938.206999999999</v>
      </c>
      <c r="F117" s="104">
        <f t="shared" si="70"/>
        <v>14366.460999999999</v>
      </c>
      <c r="G117" s="104">
        <f t="shared" si="70"/>
        <v>12733.915000000001</v>
      </c>
      <c r="H117" s="104">
        <f>IFERROR(H106+H115,"n.a.")</f>
        <v>13031.697</v>
      </c>
      <c r="I117" s="104">
        <f>IFERROR(I106+I115,"n.a.")</f>
        <v>13934.454000000002</v>
      </c>
      <c r="J117" s="104">
        <f>IFERROR(J106+J115,"n.a.")</f>
        <v>13760.016999999998</v>
      </c>
      <c r="K117" s="2"/>
    </row>
    <row r="120" spans="1:11" x14ac:dyDescent="0.3">
      <c r="A120" s="260" t="s">
        <v>203</v>
      </c>
      <c r="B120" s="260"/>
      <c r="C120" s="260"/>
      <c r="D120" s="260"/>
      <c r="E120" s="260"/>
      <c r="F120" s="260"/>
      <c r="G120" s="260"/>
      <c r="H120" s="260"/>
      <c r="I120" s="260"/>
      <c r="J120" s="260"/>
      <c r="K120" s="260"/>
    </row>
    <row r="121" spans="1:11" x14ac:dyDescent="0.3">
      <c r="A121" s="260" t="s">
        <v>204</v>
      </c>
      <c r="B121" s="260"/>
      <c r="C121" s="260"/>
      <c r="D121" s="260"/>
      <c r="E121" s="260"/>
      <c r="F121" s="260"/>
      <c r="G121" s="260"/>
      <c r="H121" s="260"/>
      <c r="I121" s="260"/>
      <c r="J121" s="260"/>
      <c r="K121" s="260"/>
    </row>
    <row r="122" spans="1:11" x14ac:dyDescent="0.3">
      <c r="A122" s="260" t="s">
        <v>340</v>
      </c>
      <c r="B122" s="260"/>
      <c r="C122" s="260"/>
      <c r="D122" s="260"/>
      <c r="E122" s="260"/>
      <c r="F122" s="260"/>
      <c r="G122" s="260"/>
      <c r="H122" s="260"/>
      <c r="I122" s="260"/>
      <c r="J122" s="260"/>
      <c r="K122" s="260"/>
    </row>
  </sheetData>
  <mergeCells count="3">
    <mergeCell ref="A120:K120"/>
    <mergeCell ref="A121:K121"/>
    <mergeCell ref="A122:K122"/>
  </mergeCells>
  <pageMargins left="0" right="0" top="0" bottom="0" header="0" footer="0"/>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C124"/>
  <sheetViews>
    <sheetView showGridLines="0" zoomScale="90" zoomScaleNormal="90" zoomScaleSheetLayoutView="100" workbookViewId="0">
      <pane xSplit="2" ySplit="6" topLeftCell="C7" activePane="bottomRight" state="frozen"/>
      <selection activeCell="L10" sqref="L10"/>
      <selection pane="topRight" activeCell="L10" sqref="L10"/>
      <selection pane="bottomLeft" activeCell="L10" sqref="L10"/>
      <selection pane="bottomRight"/>
    </sheetView>
  </sheetViews>
  <sheetFormatPr defaultColWidth="9" defaultRowHeight="12.5" outlineLevelRow="2" outlineLevelCol="1" x14ac:dyDescent="0.3"/>
  <cols>
    <col min="1" max="1" width="60.58203125" style="2" customWidth="1"/>
    <col min="2" max="2" width="4.58203125" style="2" customWidth="1"/>
    <col min="3" max="6" width="12.58203125" style="41" hidden="1" customWidth="1" outlineLevel="1"/>
    <col min="7" max="8" width="12.58203125" style="41" hidden="1" customWidth="1" outlineLevel="1" collapsed="1"/>
    <col min="9" max="10" width="12.58203125" style="41" hidden="1" customWidth="1" outlineLevel="1"/>
    <col min="11" max="11" width="12.58203125" style="41" hidden="1" customWidth="1" outlineLevel="1" collapsed="1"/>
    <col min="12" max="12" width="12.58203125" style="41" customWidth="1" collapsed="1"/>
    <col min="13" max="15" width="12.58203125" style="41" customWidth="1"/>
    <col min="16" max="16" width="12.58203125" style="41" customWidth="1" collapsed="1"/>
    <col min="17" max="19" width="12.58203125" style="41" customWidth="1"/>
    <col min="20" max="20" width="2.58203125" style="2" customWidth="1"/>
    <col min="21" max="16384" width="9" style="2"/>
  </cols>
  <sheetData>
    <row r="1" spans="1:24" s="9" customFormat="1" ht="27.75" customHeight="1" x14ac:dyDescent="0.3">
      <c r="A1" s="9" t="s">
        <v>197</v>
      </c>
      <c r="C1" s="10"/>
      <c r="D1" s="10"/>
      <c r="E1" s="10"/>
      <c r="F1" s="10"/>
      <c r="G1" s="10"/>
      <c r="H1" s="10"/>
      <c r="I1" s="10"/>
      <c r="J1" s="10"/>
      <c r="K1" s="10"/>
      <c r="L1" s="10"/>
      <c r="M1" s="10"/>
      <c r="N1" s="10"/>
      <c r="O1" s="10"/>
      <c r="P1" s="10"/>
      <c r="Q1" s="10"/>
      <c r="R1" s="10"/>
      <c r="S1" s="10"/>
    </row>
    <row r="2" spans="1:24" x14ac:dyDescent="0.3">
      <c r="A2" s="33" t="s">
        <v>192</v>
      </c>
      <c r="B2" s="11"/>
    </row>
    <row r="4" spans="1:24" ht="13.5" thickBot="1" x14ac:dyDescent="0.35">
      <c r="A4" s="12" t="s">
        <v>120</v>
      </c>
      <c r="B4" s="12"/>
      <c r="C4" s="14" t="s">
        <v>26</v>
      </c>
      <c r="D4" s="14" t="s">
        <v>168</v>
      </c>
      <c r="E4" s="14" t="s">
        <v>166</v>
      </c>
      <c r="F4" s="14" t="s">
        <v>122</v>
      </c>
      <c r="G4" s="14" t="s">
        <v>162</v>
      </c>
      <c r="H4" s="14" t="s">
        <v>236</v>
      </c>
      <c r="I4" s="176" t="s">
        <v>252</v>
      </c>
      <c r="J4" s="176" t="s">
        <v>263</v>
      </c>
      <c r="K4" s="14" t="s">
        <v>265</v>
      </c>
      <c r="L4" s="14" t="s">
        <v>275</v>
      </c>
      <c r="M4" s="14" t="s">
        <v>303</v>
      </c>
      <c r="N4" s="176" t="s">
        <v>308</v>
      </c>
      <c r="O4" s="14" t="s">
        <v>309</v>
      </c>
      <c r="P4" s="14" t="s">
        <v>324</v>
      </c>
      <c r="Q4" s="14" t="s">
        <v>334</v>
      </c>
      <c r="R4" s="14" t="s">
        <v>337</v>
      </c>
      <c r="S4" s="14" t="s">
        <v>338</v>
      </c>
    </row>
    <row r="5" spans="1:24" x14ac:dyDescent="0.3">
      <c r="C5" s="41" t="s">
        <v>191</v>
      </c>
      <c r="D5" s="41" t="s">
        <v>177</v>
      </c>
      <c r="E5" s="41" t="s">
        <v>178</v>
      </c>
      <c r="F5" s="41" t="s">
        <v>177</v>
      </c>
      <c r="G5" s="41" t="s">
        <v>177</v>
      </c>
      <c r="H5" s="41" t="s">
        <v>177</v>
      </c>
      <c r="I5" s="41" t="s">
        <v>177</v>
      </c>
      <c r="J5" s="41" t="s">
        <v>177</v>
      </c>
      <c r="K5" s="41" t="s">
        <v>177</v>
      </c>
      <c r="L5" s="41" t="s">
        <v>177</v>
      </c>
      <c r="M5" s="41" t="s">
        <v>177</v>
      </c>
      <c r="N5" s="41" t="s">
        <v>177</v>
      </c>
      <c r="O5" s="41" t="s">
        <v>177</v>
      </c>
      <c r="P5" s="41" t="s">
        <v>177</v>
      </c>
      <c r="Q5" s="41" t="s">
        <v>177</v>
      </c>
      <c r="R5" s="41" t="s">
        <v>177</v>
      </c>
      <c r="S5" s="41" t="s">
        <v>177</v>
      </c>
    </row>
    <row r="7" spans="1:24" x14ac:dyDescent="0.3">
      <c r="A7" s="165" t="s">
        <v>201</v>
      </c>
      <c r="B7" s="96"/>
      <c r="C7" s="81">
        <f t="shared" ref="C7:J7" si="0">IFERROR(C76/C104,"n.a.")</f>
        <v>1.201397856341732</v>
      </c>
      <c r="D7" s="81">
        <f t="shared" si="0"/>
        <v>0.89929754642303839</v>
      </c>
      <c r="E7" s="81">
        <f t="shared" si="0"/>
        <v>1.3186902446984428</v>
      </c>
      <c r="F7" s="81">
        <f t="shared" si="0"/>
        <v>1.2771320369186663</v>
      </c>
      <c r="G7" s="81">
        <f t="shared" si="0"/>
        <v>1.102454312795166</v>
      </c>
      <c r="H7" s="81">
        <f t="shared" si="0"/>
        <v>1.1578342673505573</v>
      </c>
      <c r="I7" s="81">
        <f t="shared" si="0"/>
        <v>1.2069540366753986</v>
      </c>
      <c r="J7" s="81">
        <f t="shared" si="0"/>
        <v>1.3271509218642776</v>
      </c>
      <c r="K7" s="81">
        <f t="shared" ref="K7:L7" si="1">IFERROR(K76/K104,"n.a.")</f>
        <v>1.2199282774955671</v>
      </c>
      <c r="L7" s="81">
        <f t="shared" si="1"/>
        <v>1.3262169579555703</v>
      </c>
      <c r="M7" s="81">
        <f t="shared" ref="M7" si="2">IFERROR(M76/M104,"n.a.")</f>
        <v>1.072587700044656</v>
      </c>
      <c r="N7" s="81">
        <f>IFERROR(N76/N104,"n.a.")</f>
        <v>1.1282571669967232</v>
      </c>
      <c r="O7" s="81">
        <f t="shared" ref="O7:P7" si="3">IFERROR(O76/O104,"n.a.")</f>
        <v>1.0879781871025251</v>
      </c>
      <c r="P7" s="81">
        <f t="shared" si="3"/>
        <v>1.233070275601255</v>
      </c>
      <c r="Q7" s="81">
        <f t="shared" ref="Q7:S7" si="4">IFERROR(Q76/Q104,"n.a.")</f>
        <v>1.4488597756505777</v>
      </c>
      <c r="R7" s="81">
        <f t="shared" si="4"/>
        <v>1.3971792366063458</v>
      </c>
      <c r="S7" s="81">
        <f t="shared" si="4"/>
        <v>1.5730307526745033</v>
      </c>
    </row>
    <row r="8" spans="1:24" x14ac:dyDescent="0.3">
      <c r="A8" s="166" t="s">
        <v>202</v>
      </c>
      <c r="B8" s="18"/>
      <c r="C8" s="84">
        <f t="shared" ref="C8:Q8" si="5">IFERROR((C76-C64)/C104,"n.a.")</f>
        <v>0.856817324226681</v>
      </c>
      <c r="D8" s="84">
        <f t="shared" si="5"/>
        <v>0.6257075010856209</v>
      </c>
      <c r="E8" s="84">
        <f t="shared" si="5"/>
        <v>0.8927252281121848</v>
      </c>
      <c r="F8" s="84">
        <f t="shared" si="5"/>
        <v>0.84508236984815155</v>
      </c>
      <c r="G8" s="84">
        <f t="shared" si="5"/>
        <v>0.77922558538449249</v>
      </c>
      <c r="H8" s="84">
        <f t="shared" si="5"/>
        <v>0.78572338842451872</v>
      </c>
      <c r="I8" s="84">
        <f t="shared" si="5"/>
        <v>0.80871741409114228</v>
      </c>
      <c r="J8" s="84">
        <f t="shared" si="5"/>
        <v>0.8852824821986065</v>
      </c>
      <c r="K8" s="84">
        <f t="shared" si="5"/>
        <v>0.84452749972555152</v>
      </c>
      <c r="L8" s="84">
        <f t="shared" si="5"/>
        <v>0.89738298067268296</v>
      </c>
      <c r="M8" s="84">
        <f t="shared" si="5"/>
        <v>0.70462743705979436</v>
      </c>
      <c r="N8" s="84">
        <f t="shared" si="5"/>
        <v>0.77588826311887216</v>
      </c>
      <c r="O8" s="84">
        <f t="shared" si="5"/>
        <v>0.78453466012923401</v>
      </c>
      <c r="P8" s="84">
        <f t="shared" si="5"/>
        <v>0.80655938111121739</v>
      </c>
      <c r="Q8" s="84">
        <f t="shared" si="5"/>
        <v>1.0667954112874065</v>
      </c>
      <c r="R8" s="84">
        <f t="shared" ref="R8:S8" si="6">IFERROR((R76-R64)/R104,"n.a.")</f>
        <v>1.0678325864625562</v>
      </c>
      <c r="S8" s="84">
        <f t="shared" si="6"/>
        <v>1.2674849991853938</v>
      </c>
    </row>
    <row r="9" spans="1:24" x14ac:dyDescent="0.3">
      <c r="A9" s="216" t="s">
        <v>295</v>
      </c>
      <c r="B9" s="87"/>
      <c r="C9" s="83">
        <f t="shared" ref="C9:K9" si="7">C36</f>
        <v>4912.831000000001</v>
      </c>
      <c r="D9" s="83">
        <f t="shared" si="7"/>
        <v>5525.2430000000004</v>
      </c>
      <c r="E9" s="83">
        <f t="shared" si="7"/>
        <v>4176.4740000000011</v>
      </c>
      <c r="F9" s="83">
        <f t="shared" si="7"/>
        <v>4287.67</v>
      </c>
      <c r="G9" s="83">
        <f t="shared" si="7"/>
        <v>3218.4949999999994</v>
      </c>
      <c r="H9" s="83">
        <f t="shared" si="7"/>
        <v>3938.8859999999995</v>
      </c>
      <c r="I9" s="83">
        <f t="shared" si="7"/>
        <v>3916.4589999999985</v>
      </c>
      <c r="J9" s="83">
        <f t="shared" si="7"/>
        <v>4038.2950000000005</v>
      </c>
      <c r="K9" s="83">
        <f t="shared" si="7"/>
        <v>3180.1300000000006</v>
      </c>
      <c r="L9" s="83">
        <f t="shared" ref="L9:S9" si="8">L40</f>
        <v>4387.3399999999992</v>
      </c>
      <c r="M9" s="83">
        <f t="shared" si="8"/>
        <v>4491.7800000000007</v>
      </c>
      <c r="N9" s="83">
        <f t="shared" si="8"/>
        <v>4480.1550000000007</v>
      </c>
      <c r="O9" s="83">
        <f t="shared" si="8"/>
        <v>3507.2249999999999</v>
      </c>
      <c r="P9" s="83">
        <f t="shared" si="8"/>
        <v>4260.7339999999995</v>
      </c>
      <c r="Q9" s="83">
        <f t="shared" si="8"/>
        <v>4264.68</v>
      </c>
      <c r="R9" s="83">
        <f t="shared" si="8"/>
        <v>4252.4809999999998</v>
      </c>
      <c r="S9" s="83">
        <f t="shared" si="8"/>
        <v>3258.3750000000005</v>
      </c>
    </row>
    <row r="12" spans="1:24" ht="13.5" thickBot="1" x14ac:dyDescent="0.35">
      <c r="A12" s="12" t="s">
        <v>61</v>
      </c>
      <c r="B12" s="12"/>
      <c r="C12" s="14" t="str">
        <f t="shared" ref="C12:P12" si="9">C4</f>
        <v>FY 2016</v>
      </c>
      <c r="D12" s="14" t="str">
        <f t="shared" si="9"/>
        <v>1Q 2017</v>
      </c>
      <c r="E12" s="14" t="str">
        <f t="shared" si="9"/>
        <v>1H 2017</v>
      </c>
      <c r="F12" s="14" t="str">
        <f t="shared" si="9"/>
        <v>9M 2017</v>
      </c>
      <c r="G12" s="14" t="str">
        <f t="shared" si="9"/>
        <v>FY 2017</v>
      </c>
      <c r="H12" s="14" t="str">
        <f t="shared" si="9"/>
        <v>1Q 2018</v>
      </c>
      <c r="I12" s="14" t="str">
        <f t="shared" si="9"/>
        <v>1H 2018</v>
      </c>
      <c r="J12" s="14" t="str">
        <f t="shared" si="9"/>
        <v>9M 2018</v>
      </c>
      <c r="K12" s="14" t="str">
        <f t="shared" si="9"/>
        <v>FY 2018</v>
      </c>
      <c r="L12" s="14" t="str">
        <f t="shared" si="9"/>
        <v>1Q 2019</v>
      </c>
      <c r="M12" s="14" t="str">
        <f t="shared" si="9"/>
        <v>1H 2019</v>
      </c>
      <c r="N12" s="14" t="str">
        <f t="shared" si="9"/>
        <v>9M 2019</v>
      </c>
      <c r="O12" s="14" t="str">
        <f t="shared" si="9"/>
        <v>FY 2019</v>
      </c>
      <c r="P12" s="14" t="str">
        <f t="shared" si="9"/>
        <v>1Q 2020</v>
      </c>
      <c r="Q12" s="14" t="str">
        <f t="shared" ref="Q12:S12" si="10">Q4</f>
        <v>1H 2020</v>
      </c>
      <c r="R12" s="14" t="str">
        <f t="shared" si="10"/>
        <v>9M 2020</v>
      </c>
      <c r="S12" s="14" t="str">
        <f t="shared" si="10"/>
        <v>FY 2020</v>
      </c>
    </row>
    <row r="13" spans="1:24" x14ac:dyDescent="0.3">
      <c r="B13" s="97"/>
      <c r="C13" s="41" t="str">
        <f t="shared" ref="C13:P13" si="11">C5</f>
        <v>restated</v>
      </c>
      <c r="D13" s="41" t="str">
        <f t="shared" si="11"/>
        <v>reported</v>
      </c>
      <c r="E13" s="41" t="str">
        <f t="shared" si="11"/>
        <v>carve-out</v>
      </c>
      <c r="F13" s="41" t="str">
        <f t="shared" si="11"/>
        <v>reported</v>
      </c>
      <c r="G13" s="41" t="str">
        <f t="shared" si="11"/>
        <v>reported</v>
      </c>
      <c r="H13" s="41" t="str">
        <f t="shared" si="11"/>
        <v>reported</v>
      </c>
      <c r="I13" s="41" t="str">
        <f t="shared" si="11"/>
        <v>reported</v>
      </c>
      <c r="J13" s="41" t="str">
        <f t="shared" si="11"/>
        <v>reported</v>
      </c>
      <c r="K13" s="41" t="str">
        <f t="shared" si="11"/>
        <v>reported</v>
      </c>
      <c r="L13" s="41" t="str">
        <f t="shared" si="11"/>
        <v>reported</v>
      </c>
      <c r="M13" s="41" t="str">
        <f t="shared" si="11"/>
        <v>reported</v>
      </c>
      <c r="N13" s="41" t="str">
        <f t="shared" si="11"/>
        <v>reported</v>
      </c>
      <c r="O13" s="41" t="str">
        <f t="shared" si="11"/>
        <v>reported</v>
      </c>
      <c r="P13" s="41" t="str">
        <f t="shared" si="11"/>
        <v>reported</v>
      </c>
      <c r="Q13" s="41" t="str">
        <f t="shared" ref="Q13:S13" si="12">Q5</f>
        <v>reported</v>
      </c>
      <c r="R13" s="41" t="str">
        <f t="shared" si="12"/>
        <v>reported</v>
      </c>
      <c r="S13" s="41" t="str">
        <f t="shared" si="12"/>
        <v>reported</v>
      </c>
    </row>
    <row r="14" spans="1:24" x14ac:dyDescent="0.3">
      <c r="B14" s="59"/>
      <c r="C14" s="120"/>
      <c r="D14" s="120"/>
      <c r="E14" s="120"/>
      <c r="F14" s="120"/>
      <c r="G14" s="120"/>
      <c r="H14" s="120"/>
      <c r="I14" s="120"/>
      <c r="J14" s="120"/>
      <c r="K14" s="120"/>
      <c r="L14" s="120"/>
      <c r="M14" s="120"/>
      <c r="N14" s="120"/>
      <c r="O14" s="120"/>
      <c r="P14" s="120"/>
      <c r="Q14" s="120"/>
      <c r="R14" s="120"/>
      <c r="S14" s="120"/>
    </row>
    <row r="15" spans="1:24" x14ac:dyDescent="0.3">
      <c r="A15" s="32" t="s">
        <v>287</v>
      </c>
      <c r="B15" s="18"/>
      <c r="C15" s="55">
        <f t="shared" ref="C15:L15" si="13">IFERROR(C21-C17,C21)</f>
        <v>10299.225</v>
      </c>
      <c r="D15" s="55">
        <f t="shared" si="13"/>
        <v>9213.5789999999997</v>
      </c>
      <c r="E15" s="55">
        <f t="shared" si="13"/>
        <v>9131.4569999999985</v>
      </c>
      <c r="F15" s="55">
        <f t="shared" si="13"/>
        <v>9147.3639999999996</v>
      </c>
      <c r="G15" s="55">
        <f t="shared" si="13"/>
        <v>9120.9969999999994</v>
      </c>
      <c r="H15" s="55">
        <f t="shared" si="13"/>
        <v>8958.2100000000009</v>
      </c>
      <c r="I15" s="55">
        <f t="shared" si="13"/>
        <v>8881.2210000000014</v>
      </c>
      <c r="J15" s="55">
        <f t="shared" si="13"/>
        <v>8880.6368969658906</v>
      </c>
      <c r="K15" s="55">
        <f t="shared" si="13"/>
        <v>9017.7510000000002</v>
      </c>
      <c r="L15" s="55">
        <f t="shared" si="13"/>
        <v>9069.7619999999988</v>
      </c>
      <c r="M15" s="55">
        <f t="shared" ref="M15:P15" si="14">IFERROR(M21-M17,M21)</f>
        <v>9016.2900000000009</v>
      </c>
      <c r="N15" s="55">
        <f t="shared" si="14"/>
        <v>8972.9500000000007</v>
      </c>
      <c r="O15" s="55">
        <f t="shared" si="14"/>
        <v>9007.1790000000001</v>
      </c>
      <c r="P15" s="55">
        <f t="shared" si="14"/>
        <v>8724.1729999999989</v>
      </c>
      <c r="Q15" s="55">
        <f t="shared" ref="Q15:S15" si="15">IFERROR(Q21-Q17,Q21)</f>
        <v>8618.3959999999988</v>
      </c>
      <c r="R15" s="55">
        <f t="shared" si="15"/>
        <v>8464.3850000000002</v>
      </c>
      <c r="S15" s="55">
        <f t="shared" si="15"/>
        <v>8423.0959999999995</v>
      </c>
      <c r="U15" s="174"/>
      <c r="V15" s="174"/>
    </row>
    <row r="16" spans="1:24" hidden="1" outlineLevel="2" x14ac:dyDescent="0.3">
      <c r="A16" s="214" t="s">
        <v>292</v>
      </c>
      <c r="B16" s="37"/>
      <c r="C16" s="85">
        <f t="shared" ref="C16:F16" si="16">IFERROR(C18-C17,C18)</f>
        <v>3556.6350000000002</v>
      </c>
      <c r="D16" s="85">
        <f t="shared" si="16"/>
        <v>2980.0859999999998</v>
      </c>
      <c r="E16" s="85">
        <f t="shared" si="16"/>
        <v>2927.2</v>
      </c>
      <c r="F16" s="85">
        <f t="shared" si="16"/>
        <v>2968.2190000000001</v>
      </c>
      <c r="G16" s="85">
        <f>IFERROR(G18-G17,G18)</f>
        <v>2980.2939999999999</v>
      </c>
      <c r="H16" s="85">
        <f t="shared" ref="H16:L16" si="17">IFERROR(H18-H17,H18)</f>
        <v>3004.1410000000001</v>
      </c>
      <c r="I16" s="85">
        <f t="shared" si="17"/>
        <v>2970.884</v>
      </c>
      <c r="J16" s="85">
        <f t="shared" si="17"/>
        <v>3001.4388969658894</v>
      </c>
      <c r="K16" s="85">
        <f t="shared" si="17"/>
        <v>3092.9270000000001</v>
      </c>
      <c r="L16" s="85">
        <f t="shared" si="17"/>
        <v>3148.6479999999997</v>
      </c>
      <c r="M16" s="85">
        <f t="shared" ref="M16:P16" si="18">IFERROR(M18-M17,M18)</f>
        <v>3134.694</v>
      </c>
      <c r="N16" s="85">
        <f t="shared" si="18"/>
        <v>3129.4620000000004</v>
      </c>
      <c r="O16" s="85">
        <f t="shared" si="18"/>
        <v>3187.1910000000003</v>
      </c>
      <c r="P16" s="85">
        <f t="shared" si="18"/>
        <v>2958.4580000000001</v>
      </c>
      <c r="Q16" s="85">
        <f t="shared" ref="Q16:S16" si="19">IFERROR(Q18-Q17,Q18)</f>
        <v>2860.4369999999999</v>
      </c>
      <c r="R16" s="85">
        <f t="shared" si="19"/>
        <v>2742.991</v>
      </c>
      <c r="S16" s="85">
        <f t="shared" si="19"/>
        <v>2725.7549999999997</v>
      </c>
      <c r="T16" s="174"/>
      <c r="U16" s="174"/>
      <c r="V16" s="174"/>
      <c r="W16" s="174"/>
      <c r="X16" s="174"/>
    </row>
    <row r="17" spans="1:24" hidden="1" outlineLevel="2" x14ac:dyDescent="0.3">
      <c r="A17" s="214" t="s">
        <v>286</v>
      </c>
      <c r="B17" s="37"/>
      <c r="C17" s="77" t="str">
        <f>'Balance Sheet - FY'!F17</f>
        <v>n.a.</v>
      </c>
      <c r="D17" s="89" t="s">
        <v>230</v>
      </c>
      <c r="E17" s="89" t="s">
        <v>230</v>
      </c>
      <c r="F17" s="89" t="s">
        <v>230</v>
      </c>
      <c r="G17" s="77" t="str">
        <f>'Balance Sheet - FY'!G17</f>
        <v>n.a.</v>
      </c>
      <c r="H17" s="89" t="s">
        <v>230</v>
      </c>
      <c r="I17" s="89" t="s">
        <v>230</v>
      </c>
      <c r="J17" s="89" t="s">
        <v>230</v>
      </c>
      <c r="K17" s="77" t="str">
        <f>'Balance Sheet - FY'!H17</f>
        <v>n.a.</v>
      </c>
      <c r="L17" s="89">
        <v>472.387</v>
      </c>
      <c r="M17" s="89">
        <v>458.9</v>
      </c>
      <c r="N17" s="89">
        <v>463.78</v>
      </c>
      <c r="O17" s="77">
        <f>'Balance Sheet - FY'!I17</f>
        <v>462.61799999999999</v>
      </c>
      <c r="P17" s="89">
        <v>450.7</v>
      </c>
      <c r="Q17" s="89">
        <v>449.32100000000003</v>
      </c>
      <c r="R17" s="89">
        <v>444.43200000000002</v>
      </c>
      <c r="S17" s="77">
        <f>'Balance Sheet - FY'!J17</f>
        <v>434.012</v>
      </c>
      <c r="T17" s="174"/>
      <c r="U17" s="174"/>
      <c r="V17" s="174"/>
      <c r="W17" s="174"/>
      <c r="X17" s="174"/>
    </row>
    <row r="18" spans="1:24" outlineLevel="1" collapsed="1" x14ac:dyDescent="0.3">
      <c r="A18" s="66" t="s">
        <v>293</v>
      </c>
      <c r="B18" s="37"/>
      <c r="C18" s="85">
        <f t="shared" ref="C18:L18" si="20">C47</f>
        <v>3556.6350000000002</v>
      </c>
      <c r="D18" s="85">
        <f t="shared" si="20"/>
        <v>2980.0859999999998</v>
      </c>
      <c r="E18" s="85">
        <f t="shared" si="20"/>
        <v>2927.2</v>
      </c>
      <c r="F18" s="85">
        <f t="shared" si="20"/>
        <v>2968.2190000000001</v>
      </c>
      <c r="G18" s="85">
        <f t="shared" si="20"/>
        <v>2980.2939999999999</v>
      </c>
      <c r="H18" s="85">
        <f t="shared" si="20"/>
        <v>3004.1410000000001</v>
      </c>
      <c r="I18" s="85">
        <f t="shared" si="20"/>
        <v>2970.884</v>
      </c>
      <c r="J18" s="85">
        <f t="shared" si="20"/>
        <v>3001.4388969658894</v>
      </c>
      <c r="K18" s="85">
        <f t="shared" si="20"/>
        <v>3092.9270000000001</v>
      </c>
      <c r="L18" s="85">
        <f t="shared" si="20"/>
        <v>3621.0349999999999</v>
      </c>
      <c r="M18" s="85">
        <f t="shared" ref="M18:P18" si="21">M47</f>
        <v>3593.5940000000001</v>
      </c>
      <c r="N18" s="85">
        <f t="shared" si="21"/>
        <v>3593.2420000000002</v>
      </c>
      <c r="O18" s="85">
        <f t="shared" si="21"/>
        <v>3649.8090000000002</v>
      </c>
      <c r="P18" s="85">
        <f t="shared" si="21"/>
        <v>3409.1579999999999</v>
      </c>
      <c r="Q18" s="85">
        <f t="shared" ref="Q18:S18" si="22">Q47</f>
        <v>3309.7579999999998</v>
      </c>
      <c r="R18" s="85">
        <f t="shared" si="22"/>
        <v>3187.4229999999998</v>
      </c>
      <c r="S18" s="85">
        <f t="shared" si="22"/>
        <v>3159.7669999999998</v>
      </c>
      <c r="T18" s="174"/>
      <c r="U18" s="174"/>
      <c r="V18" s="174"/>
      <c r="X18" s="174"/>
    </row>
    <row r="19" spans="1:24" outlineLevel="1" x14ac:dyDescent="0.3">
      <c r="A19" s="65" t="s">
        <v>1</v>
      </c>
      <c r="B19" s="18"/>
      <c r="C19" s="83">
        <f t="shared" ref="C19:L19" si="23">C48</f>
        <v>6496.8890000000001</v>
      </c>
      <c r="D19" s="83">
        <f t="shared" si="23"/>
        <v>5968.5029999999997</v>
      </c>
      <c r="E19" s="83">
        <f t="shared" si="23"/>
        <v>5940.3819999999996</v>
      </c>
      <c r="F19" s="83">
        <f t="shared" si="23"/>
        <v>5910.33</v>
      </c>
      <c r="G19" s="83">
        <f t="shared" si="23"/>
        <v>5893.7039999999997</v>
      </c>
      <c r="H19" s="83">
        <f t="shared" si="23"/>
        <v>5862.2629999999999</v>
      </c>
      <c r="I19" s="83">
        <f t="shared" si="23"/>
        <v>5832.19</v>
      </c>
      <c r="J19" s="83">
        <f t="shared" si="23"/>
        <v>5803.2489999999998</v>
      </c>
      <c r="K19" s="83">
        <f t="shared" si="23"/>
        <v>5783.3379999999997</v>
      </c>
      <c r="L19" s="83">
        <f t="shared" si="23"/>
        <v>5753.3540000000003</v>
      </c>
      <c r="M19" s="83">
        <f t="shared" ref="M19:P19" si="24">M48</f>
        <v>5725.6270000000004</v>
      </c>
      <c r="N19" s="83">
        <f t="shared" si="24"/>
        <v>5697.9229999999998</v>
      </c>
      <c r="O19" s="83">
        <f t="shared" si="24"/>
        <v>5680.1750000000002</v>
      </c>
      <c r="P19" s="83">
        <f t="shared" si="24"/>
        <v>5648.0069999999996</v>
      </c>
      <c r="Q19" s="83">
        <f t="shared" ref="Q19:S19" si="25">Q48</f>
        <v>5639.8109999999997</v>
      </c>
      <c r="R19" s="83">
        <f t="shared" si="25"/>
        <v>5609.0630000000001</v>
      </c>
      <c r="S19" s="83">
        <f t="shared" si="25"/>
        <v>5582.0330000000004</v>
      </c>
      <c r="T19" s="174"/>
      <c r="U19" s="174"/>
      <c r="V19" s="174"/>
      <c r="W19" s="174"/>
      <c r="X19" s="174"/>
    </row>
    <row r="20" spans="1:24" outlineLevel="1" x14ac:dyDescent="0.3">
      <c r="A20" s="65" t="s">
        <v>49</v>
      </c>
      <c r="B20" s="18"/>
      <c r="C20" s="83">
        <f t="shared" ref="C20:L20" si="26">IFERROR(C50+C51+C52+C53,"n.a.")</f>
        <v>245.70099999999999</v>
      </c>
      <c r="D20" s="83">
        <f t="shared" si="26"/>
        <v>264.99</v>
      </c>
      <c r="E20" s="83">
        <f t="shared" si="26"/>
        <v>263.875</v>
      </c>
      <c r="F20" s="83">
        <f t="shared" si="26"/>
        <v>268.815</v>
      </c>
      <c r="G20" s="83">
        <f t="shared" si="26"/>
        <v>246.999</v>
      </c>
      <c r="H20" s="83">
        <f t="shared" si="26"/>
        <v>91.806000000000012</v>
      </c>
      <c r="I20" s="83">
        <f t="shared" si="26"/>
        <v>78.146999999999991</v>
      </c>
      <c r="J20" s="83">
        <f t="shared" si="26"/>
        <v>75.948999999999998</v>
      </c>
      <c r="K20" s="83">
        <f t="shared" si="26"/>
        <v>141.48599999999999</v>
      </c>
      <c r="L20" s="83">
        <f t="shared" si="26"/>
        <v>167.76</v>
      </c>
      <c r="M20" s="83">
        <f t="shared" ref="M20:P20" si="27">IFERROR(M50+M51+M52+M53,"n.a.")</f>
        <v>155.96899999999999</v>
      </c>
      <c r="N20" s="83">
        <f t="shared" si="27"/>
        <v>145.565</v>
      </c>
      <c r="O20" s="83">
        <f t="shared" si="27"/>
        <v>139.81299999999999</v>
      </c>
      <c r="P20" s="83">
        <f t="shared" si="27"/>
        <v>117.708</v>
      </c>
      <c r="Q20" s="83">
        <f t="shared" ref="Q20:S20" si="28">IFERROR(Q50+Q51+Q52+Q53,"n.a.")</f>
        <v>118.148</v>
      </c>
      <c r="R20" s="83">
        <f t="shared" si="28"/>
        <v>112.33099999999999</v>
      </c>
      <c r="S20" s="83">
        <f t="shared" si="28"/>
        <v>115.30799999999999</v>
      </c>
      <c r="T20" s="174"/>
      <c r="U20" s="174"/>
      <c r="V20" s="174"/>
      <c r="W20" s="174"/>
      <c r="X20" s="174"/>
    </row>
    <row r="21" spans="1:24" x14ac:dyDescent="0.3">
      <c r="A21" s="32" t="s">
        <v>288</v>
      </c>
      <c r="B21" s="18"/>
      <c r="C21" s="55">
        <f t="shared" ref="C21:L21" si="29">IFERROR(C18+C19+C20,"n.a.")</f>
        <v>10299.225</v>
      </c>
      <c r="D21" s="55">
        <f t="shared" si="29"/>
        <v>9213.5789999999997</v>
      </c>
      <c r="E21" s="55">
        <f t="shared" si="29"/>
        <v>9131.4569999999985</v>
      </c>
      <c r="F21" s="55">
        <f t="shared" si="29"/>
        <v>9147.3639999999996</v>
      </c>
      <c r="G21" s="55">
        <f t="shared" si="29"/>
        <v>9120.9969999999994</v>
      </c>
      <c r="H21" s="55">
        <f t="shared" si="29"/>
        <v>8958.2100000000009</v>
      </c>
      <c r="I21" s="55">
        <f t="shared" si="29"/>
        <v>8881.2210000000014</v>
      </c>
      <c r="J21" s="55">
        <f t="shared" si="29"/>
        <v>8880.6368969658906</v>
      </c>
      <c r="K21" s="55">
        <f t="shared" si="29"/>
        <v>9017.7510000000002</v>
      </c>
      <c r="L21" s="55">
        <f t="shared" si="29"/>
        <v>9542.1489999999994</v>
      </c>
      <c r="M21" s="55">
        <f t="shared" ref="M21:P21" si="30">IFERROR(M18+M19+M20,"n.a.")</f>
        <v>9475.19</v>
      </c>
      <c r="N21" s="55">
        <f t="shared" si="30"/>
        <v>9436.7300000000014</v>
      </c>
      <c r="O21" s="55">
        <f t="shared" si="30"/>
        <v>9469.7970000000005</v>
      </c>
      <c r="P21" s="55">
        <f t="shared" si="30"/>
        <v>9174.8729999999996</v>
      </c>
      <c r="Q21" s="55">
        <f t="shared" ref="Q21:S21" si="31">IFERROR(Q18+Q19+Q20,"n.a.")</f>
        <v>9067.7169999999987</v>
      </c>
      <c r="R21" s="55">
        <f t="shared" si="31"/>
        <v>8908.8170000000009</v>
      </c>
      <c r="S21" s="55">
        <f t="shared" si="31"/>
        <v>8857.1080000000002</v>
      </c>
      <c r="U21" s="174"/>
      <c r="V21" s="174"/>
    </row>
    <row r="22" spans="1:24" hidden="1" outlineLevel="2" x14ac:dyDescent="0.3">
      <c r="A22" s="93" t="s">
        <v>51</v>
      </c>
      <c r="B22" s="18"/>
      <c r="C22" s="84">
        <f t="shared" ref="C22:K23" si="32">C64</f>
        <v>1055.6389999999999</v>
      </c>
      <c r="D22" s="84">
        <f t="shared" si="32"/>
        <v>925.51599999999996</v>
      </c>
      <c r="E22" s="84">
        <f t="shared" si="32"/>
        <v>937.12900000000002</v>
      </c>
      <c r="F22" s="84">
        <f t="shared" si="32"/>
        <v>969.26800000000003</v>
      </c>
      <c r="G22" s="84">
        <f t="shared" si="32"/>
        <v>940.66800000000001</v>
      </c>
      <c r="H22" s="84">
        <f t="shared" si="32"/>
        <v>940.22</v>
      </c>
      <c r="I22" s="84">
        <f t="shared" si="32"/>
        <v>983.25099999999998</v>
      </c>
      <c r="J22" s="84">
        <f t="shared" si="32"/>
        <v>1048.921</v>
      </c>
      <c r="K22" s="84">
        <f t="shared" si="32"/>
        <v>1128.4659999999999</v>
      </c>
      <c r="L22" s="84">
        <f t="shared" ref="L22:O22" si="33">L64</f>
        <v>1165.5119999999999</v>
      </c>
      <c r="M22" s="84">
        <f t="shared" si="33"/>
        <v>1165.116</v>
      </c>
      <c r="N22" s="84">
        <f t="shared" si="33"/>
        <v>1103.5440000000001</v>
      </c>
      <c r="O22" s="84">
        <f t="shared" si="33"/>
        <v>1093.7539999999999</v>
      </c>
      <c r="P22" s="84">
        <f t="shared" ref="P22:Q22" si="34">P64</f>
        <v>1137.383</v>
      </c>
      <c r="Q22" s="84">
        <f t="shared" si="34"/>
        <v>961.50699999999995</v>
      </c>
      <c r="R22" s="84">
        <f t="shared" ref="R22:S22" si="35">R64</f>
        <v>824.68499999999995</v>
      </c>
      <c r="S22" s="84">
        <f t="shared" si="35"/>
        <v>836.43700000000001</v>
      </c>
      <c r="U22" s="174"/>
      <c r="V22" s="182"/>
    </row>
    <row r="23" spans="1:24" hidden="1" outlineLevel="2" x14ac:dyDescent="0.3">
      <c r="A23" s="93" t="s">
        <v>52</v>
      </c>
      <c r="B23" s="18"/>
      <c r="C23" s="84">
        <f t="shared" si="32"/>
        <v>679.32100000000003</v>
      </c>
      <c r="D23" s="84">
        <f t="shared" si="32"/>
        <v>1044.807</v>
      </c>
      <c r="E23" s="84">
        <f t="shared" si="32"/>
        <v>968.36400000000003</v>
      </c>
      <c r="F23" s="84">
        <f t="shared" si="32"/>
        <v>1037.415</v>
      </c>
      <c r="G23" s="84">
        <f t="shared" si="32"/>
        <v>652.48699999999997</v>
      </c>
      <c r="H23" s="84">
        <f t="shared" si="32"/>
        <v>875.88499999999999</v>
      </c>
      <c r="I23" s="84">
        <f t="shared" si="32"/>
        <v>864.43499999999995</v>
      </c>
      <c r="J23" s="84">
        <f t="shared" si="32"/>
        <v>967.745</v>
      </c>
      <c r="K23" s="84">
        <f t="shared" si="32"/>
        <v>627.96799999999996</v>
      </c>
      <c r="L23" s="84">
        <f t="shared" ref="L23:O23" si="36">L65</f>
        <v>858.44200000000001</v>
      </c>
      <c r="M23" s="84">
        <f t="shared" si="36"/>
        <v>862.12</v>
      </c>
      <c r="N23" s="84">
        <f t="shared" si="36"/>
        <v>976.17700000000002</v>
      </c>
      <c r="O23" s="84">
        <f t="shared" si="36"/>
        <v>649.39400000000001</v>
      </c>
      <c r="P23" s="84">
        <f t="shared" ref="P23:Q23" si="37">P65</f>
        <v>658.67100000000005</v>
      </c>
      <c r="Q23" s="84">
        <f t="shared" si="37"/>
        <v>627.89200000000005</v>
      </c>
      <c r="R23" s="84">
        <f t="shared" ref="R23:S23" si="38">R65</f>
        <v>949.07</v>
      </c>
      <c r="S23" s="84">
        <f t="shared" si="38"/>
        <v>597.66899999999998</v>
      </c>
      <c r="U23" s="174"/>
      <c r="V23" s="182"/>
    </row>
    <row r="24" spans="1:24" hidden="1" outlineLevel="2" x14ac:dyDescent="0.3">
      <c r="A24" s="93" t="s">
        <v>53</v>
      </c>
      <c r="B24" s="18"/>
      <c r="C24" s="84">
        <f t="shared" ref="C24:K24" si="39">IFERROR(-C95,"n.a.")</f>
        <v>-1498.492</v>
      </c>
      <c r="D24" s="84">
        <f t="shared" si="39"/>
        <v>-1062.2349999999999</v>
      </c>
      <c r="E24" s="84">
        <f t="shared" si="39"/>
        <v>-1139.7940000000001</v>
      </c>
      <c r="F24" s="84">
        <f t="shared" si="39"/>
        <v>-1066.8789999999999</v>
      </c>
      <c r="G24" s="84">
        <f t="shared" si="39"/>
        <v>-1673.6420000000001</v>
      </c>
      <c r="H24" s="84">
        <f t="shared" si="39"/>
        <v>-1062.45</v>
      </c>
      <c r="I24" s="84">
        <f t="shared" si="39"/>
        <v>-1052.184</v>
      </c>
      <c r="J24" s="84">
        <f t="shared" si="39"/>
        <v>-1004.992</v>
      </c>
      <c r="K24" s="84">
        <f t="shared" si="39"/>
        <v>-1604.6769999999999</v>
      </c>
      <c r="L24" s="84">
        <f t="shared" ref="L24:O24" si="40">IFERROR(-L95,"n.a.")</f>
        <v>-1142.538</v>
      </c>
      <c r="M24" s="84">
        <f t="shared" si="40"/>
        <v>-1200.3440000000001</v>
      </c>
      <c r="N24" s="84">
        <f t="shared" si="40"/>
        <v>-1146.6759999999999</v>
      </c>
      <c r="O24" s="84">
        <f t="shared" si="40"/>
        <v>-1611.4880000000001</v>
      </c>
      <c r="P24" s="84">
        <f t="shared" ref="P24:Q24" si="41">IFERROR(-P95,"n.a.")</f>
        <v>-961.33600000000001</v>
      </c>
      <c r="Q24" s="84">
        <f t="shared" si="41"/>
        <v>-858.423</v>
      </c>
      <c r="R24" s="84">
        <f t="shared" ref="R24:S24" si="42">IFERROR(-R95,"n.a.")</f>
        <v>-808.41099999999994</v>
      </c>
      <c r="S24" s="84">
        <f t="shared" si="42"/>
        <v>-1267.971</v>
      </c>
      <c r="U24" s="174"/>
      <c r="V24" s="182"/>
    </row>
    <row r="25" spans="1:24" outlineLevel="1" collapsed="1" x14ac:dyDescent="0.3">
      <c r="A25" s="65" t="s">
        <v>50</v>
      </c>
      <c r="B25" s="18"/>
      <c r="C25" s="55">
        <f t="shared" ref="C25:K25" si="43">IFERROR(C22+C23+C24,"n.a.")</f>
        <v>236.46800000000007</v>
      </c>
      <c r="D25" s="55">
        <f t="shared" si="43"/>
        <v>908.08799999999997</v>
      </c>
      <c r="E25" s="55">
        <f t="shared" si="43"/>
        <v>765.69899999999984</v>
      </c>
      <c r="F25" s="55">
        <f t="shared" si="43"/>
        <v>939.80400000000009</v>
      </c>
      <c r="G25" s="55">
        <f t="shared" si="43"/>
        <v>-80.48700000000008</v>
      </c>
      <c r="H25" s="55">
        <f t="shared" si="43"/>
        <v>753.65499999999997</v>
      </c>
      <c r="I25" s="55">
        <f t="shared" si="43"/>
        <v>795.50199999999995</v>
      </c>
      <c r="J25" s="55">
        <f t="shared" si="43"/>
        <v>1011.6740000000002</v>
      </c>
      <c r="K25" s="55">
        <f t="shared" si="43"/>
        <v>151.75699999999983</v>
      </c>
      <c r="L25" s="55">
        <f t="shared" ref="L25:O25" si="44">IFERROR(L22+L23+L24,"n.a.")</f>
        <v>881.41599999999994</v>
      </c>
      <c r="M25" s="55">
        <f t="shared" si="44"/>
        <v>826.89199999999983</v>
      </c>
      <c r="N25" s="55">
        <f t="shared" si="44"/>
        <v>933.04500000000007</v>
      </c>
      <c r="O25" s="55">
        <f t="shared" si="44"/>
        <v>131.65999999999985</v>
      </c>
      <c r="P25" s="55">
        <f t="shared" ref="P25:Q25" si="45">IFERROR(P22+P23+P24,"n.a.")</f>
        <v>834.71800000000007</v>
      </c>
      <c r="Q25" s="55">
        <f t="shared" si="45"/>
        <v>730.97599999999989</v>
      </c>
      <c r="R25" s="55">
        <f t="shared" ref="R25:S25" si="46">IFERROR(R22+R23+R24,"n.a.")</f>
        <v>965.34400000000016</v>
      </c>
      <c r="S25" s="55">
        <f t="shared" si="46"/>
        <v>166.13499999999999</v>
      </c>
      <c r="T25" s="174"/>
      <c r="U25" s="174"/>
      <c r="V25" s="174"/>
      <c r="W25" s="174"/>
      <c r="X25" s="174"/>
    </row>
    <row r="26" spans="1:24" outlineLevel="1" x14ac:dyDescent="0.3">
      <c r="A26" s="65" t="s">
        <v>54</v>
      </c>
      <c r="B26" s="18"/>
      <c r="C26" s="83">
        <f t="shared" ref="C26:Q26" si="47">IFERROR(C56+C58+C60+C67+C72+C74-C85-C89-C91-C96-C97-C100-C102,"n.a.")</f>
        <v>-458.71999999999997</v>
      </c>
      <c r="D26" s="83">
        <f t="shared" si="47"/>
        <v>42.48100000000008</v>
      </c>
      <c r="E26" s="83">
        <f t="shared" si="47"/>
        <v>31.345000000000066</v>
      </c>
      <c r="F26" s="83">
        <f t="shared" si="47"/>
        <v>-47.239999999999995</v>
      </c>
      <c r="G26" s="83">
        <f t="shared" si="47"/>
        <v>-153.68900000000005</v>
      </c>
      <c r="H26" s="83">
        <f t="shared" si="47"/>
        <v>-14.944999999999883</v>
      </c>
      <c r="I26" s="83">
        <f t="shared" si="47"/>
        <v>28.118000000000048</v>
      </c>
      <c r="J26" s="83">
        <f t="shared" si="47"/>
        <v>26.441999999999943</v>
      </c>
      <c r="K26" s="83">
        <f t="shared" si="47"/>
        <v>-39.651000000000039</v>
      </c>
      <c r="L26" s="83">
        <f t="shared" si="47"/>
        <v>74.073999999999984</v>
      </c>
      <c r="M26" s="83">
        <f t="shared" si="47"/>
        <v>243.59000000000006</v>
      </c>
      <c r="N26" s="83">
        <f t="shared" si="47"/>
        <v>230.58000000000004</v>
      </c>
      <c r="O26" s="83">
        <f t="shared" si="47"/>
        <v>81.074999999999989</v>
      </c>
      <c r="P26" s="83">
        <f t="shared" si="47"/>
        <v>163.47999999999996</v>
      </c>
      <c r="Q26" s="83">
        <f t="shared" si="47"/>
        <v>144.98200000000003</v>
      </c>
      <c r="R26" s="83">
        <f t="shared" ref="R26:S26" si="48">IFERROR(R56+R58+R60+R67+R72+R74-R85-R89-R91-R96-R97-R100-R102,"n.a.")</f>
        <v>50.851000000000134</v>
      </c>
      <c r="S26" s="83">
        <f t="shared" si="48"/>
        <v>-25.734999999999886</v>
      </c>
      <c r="T26" s="174"/>
      <c r="U26" s="174"/>
      <c r="V26" s="174"/>
      <c r="W26" s="174"/>
      <c r="X26" s="174"/>
    </row>
    <row r="27" spans="1:24" x14ac:dyDescent="0.3">
      <c r="A27" s="32" t="s">
        <v>55</v>
      </c>
      <c r="B27" s="18"/>
      <c r="C27" s="55">
        <f t="shared" ref="C27:K27" si="49">IFERROR(C25+C26,"n.a.")</f>
        <v>-222.2519999999999</v>
      </c>
      <c r="D27" s="55">
        <f t="shared" si="49"/>
        <v>950.56900000000007</v>
      </c>
      <c r="E27" s="55">
        <f t="shared" si="49"/>
        <v>797.04399999999987</v>
      </c>
      <c r="F27" s="55">
        <f t="shared" si="49"/>
        <v>892.56400000000008</v>
      </c>
      <c r="G27" s="55">
        <f t="shared" si="49"/>
        <v>-234.17600000000013</v>
      </c>
      <c r="H27" s="55">
        <f t="shared" si="49"/>
        <v>738.71</v>
      </c>
      <c r="I27" s="55">
        <f t="shared" si="49"/>
        <v>823.62</v>
      </c>
      <c r="J27" s="55">
        <f t="shared" si="49"/>
        <v>1038.1160000000002</v>
      </c>
      <c r="K27" s="55">
        <f t="shared" si="49"/>
        <v>112.1059999999998</v>
      </c>
      <c r="L27" s="55">
        <f t="shared" ref="L27:O27" si="50">IFERROR(L25+L26,"n.a.")</f>
        <v>955.4899999999999</v>
      </c>
      <c r="M27" s="55">
        <f t="shared" si="50"/>
        <v>1070.482</v>
      </c>
      <c r="N27" s="55">
        <f t="shared" si="50"/>
        <v>1163.625</v>
      </c>
      <c r="O27" s="55">
        <f t="shared" si="50"/>
        <v>212.73499999999984</v>
      </c>
      <c r="P27" s="55">
        <f t="shared" ref="P27:Q27" si="51">IFERROR(P25+P26,"n.a.")</f>
        <v>998.19800000000009</v>
      </c>
      <c r="Q27" s="55">
        <f t="shared" si="51"/>
        <v>875.95799999999986</v>
      </c>
      <c r="R27" s="55">
        <f t="shared" ref="R27:S27" si="52">IFERROR(R25+R26,"n.a.")</f>
        <v>1016.1950000000003</v>
      </c>
      <c r="S27" s="55">
        <f t="shared" si="52"/>
        <v>140.40000000000009</v>
      </c>
      <c r="U27" s="174"/>
      <c r="V27" s="174"/>
    </row>
    <row r="28" spans="1:24" hidden="1" outlineLevel="2" x14ac:dyDescent="0.3">
      <c r="A28" s="94" t="s">
        <v>140</v>
      </c>
      <c r="B28" s="18"/>
      <c r="C28" s="88">
        <f t="shared" ref="C28:K28" si="53">IFERROR(C21+C27,"n.a.")</f>
        <v>10076.973</v>
      </c>
      <c r="D28" s="88">
        <f t="shared" si="53"/>
        <v>10164.147999999999</v>
      </c>
      <c r="E28" s="88">
        <f t="shared" si="53"/>
        <v>9928.5009999999984</v>
      </c>
      <c r="F28" s="88">
        <f t="shared" si="53"/>
        <v>10039.928</v>
      </c>
      <c r="G28" s="88">
        <f t="shared" si="53"/>
        <v>8886.8209999999999</v>
      </c>
      <c r="H28" s="88">
        <f t="shared" si="53"/>
        <v>9696.9200000000019</v>
      </c>
      <c r="I28" s="88">
        <f t="shared" si="53"/>
        <v>9704.8410000000022</v>
      </c>
      <c r="J28" s="88">
        <f t="shared" si="53"/>
        <v>9918.7528969658906</v>
      </c>
      <c r="K28" s="88">
        <f t="shared" si="53"/>
        <v>9129.857</v>
      </c>
      <c r="L28" s="88">
        <f>IFERROR(L21+L27,"n.a.")</f>
        <v>10497.638999999999</v>
      </c>
      <c r="M28" s="88">
        <f>IFERROR(M21+M27,"n.a.")</f>
        <v>10545.672</v>
      </c>
      <c r="N28" s="88">
        <f t="shared" ref="N28:O28" si="54">IFERROR(N21+N27,"n.a.")</f>
        <v>10600.355000000001</v>
      </c>
      <c r="O28" s="88">
        <f t="shared" si="54"/>
        <v>9682.5320000000011</v>
      </c>
      <c r="P28" s="88">
        <f>IFERROR(P21+P27,"n.a.")</f>
        <v>10173.071</v>
      </c>
      <c r="Q28" s="88">
        <f>IFERROR(Q21+Q27,"n.a.")</f>
        <v>9943.6749999999993</v>
      </c>
      <c r="R28" s="88">
        <f>IFERROR(R21+R27,"n.a.")</f>
        <v>9925.0120000000006</v>
      </c>
      <c r="S28" s="88">
        <f t="shared" ref="S28" si="55">IFERROR(S21+S27,"n.a.")</f>
        <v>8997.5079999999998</v>
      </c>
    </row>
    <row r="29" spans="1:24" hidden="1" outlineLevel="2" x14ac:dyDescent="0.3">
      <c r="A29" s="94" t="s">
        <v>135</v>
      </c>
      <c r="B29" s="18"/>
      <c r="C29" s="83">
        <f t="shared" ref="C29:J29" si="56">IFERROR(C77-C105,"n.a.")</f>
        <v>0</v>
      </c>
      <c r="D29" s="83">
        <f t="shared" si="56"/>
        <v>78.363</v>
      </c>
      <c r="E29" s="83">
        <f t="shared" si="56"/>
        <v>0</v>
      </c>
      <c r="F29" s="83">
        <f t="shared" si="56"/>
        <v>-1.4230000000000018</v>
      </c>
      <c r="G29" s="83">
        <f t="shared" si="56"/>
        <v>60.728999999999999</v>
      </c>
      <c r="H29" s="83">
        <f t="shared" si="56"/>
        <v>51.256999999999998</v>
      </c>
      <c r="I29" s="83">
        <f t="shared" si="56"/>
        <v>38.610999999999997</v>
      </c>
      <c r="J29" s="83">
        <f t="shared" si="56"/>
        <v>11.433999999999999</v>
      </c>
      <c r="K29" s="83">
        <f>IFERROR(K77-K105,"n.a.")</f>
        <v>10.677</v>
      </c>
      <c r="L29" s="83">
        <f>IFERROR(L77-L105,"n.a.")</f>
        <v>0.79600000000000004</v>
      </c>
      <c r="M29" s="83">
        <f>IFERROR(M77-M105,"n.a.")</f>
        <v>0.8</v>
      </c>
      <c r="N29" s="83">
        <f t="shared" ref="N29" si="57">IFERROR(N77-N105,"n.a.")</f>
        <v>0.8</v>
      </c>
      <c r="O29" s="83">
        <f>IFERROR(O77-O105,"n.a.")</f>
        <v>0</v>
      </c>
      <c r="P29" s="83">
        <f>IFERROR(P77-P105,"n.a.")</f>
        <v>0</v>
      </c>
      <c r="Q29" s="83">
        <f>IFERROR(Q77-Q105,"n.a.")</f>
        <v>0</v>
      </c>
      <c r="R29" s="83">
        <f>IFERROR(R77-R105,"n.a.")</f>
        <v>0</v>
      </c>
      <c r="S29" s="83">
        <f>IFERROR(S77-S105,"n.a.")</f>
        <v>0</v>
      </c>
      <c r="T29" s="174"/>
      <c r="U29" s="174"/>
      <c r="V29" s="174"/>
      <c r="W29" s="174"/>
      <c r="X29" s="174"/>
    </row>
    <row r="30" spans="1:24" s="25" customFormat="1" ht="13" collapsed="1" x14ac:dyDescent="0.3">
      <c r="A30" s="111" t="s">
        <v>56</v>
      </c>
      <c r="B30" s="103"/>
      <c r="C30" s="104">
        <f t="shared" ref="C30:I30" si="58">SUM(C29,C28)</f>
        <v>10076.973</v>
      </c>
      <c r="D30" s="104">
        <f t="shared" si="58"/>
        <v>10242.510999999999</v>
      </c>
      <c r="E30" s="104">
        <f t="shared" si="58"/>
        <v>9928.5009999999984</v>
      </c>
      <c r="F30" s="104">
        <f t="shared" si="58"/>
        <v>10038.504999999999</v>
      </c>
      <c r="G30" s="104">
        <f t="shared" si="58"/>
        <v>8947.5499999999993</v>
      </c>
      <c r="H30" s="104">
        <f t="shared" si="58"/>
        <v>9748.1770000000015</v>
      </c>
      <c r="I30" s="104">
        <f t="shared" si="58"/>
        <v>9743.452000000003</v>
      </c>
      <c r="J30" s="112">
        <f t="shared" ref="J30:O30" si="59">IFERROR(J28+J29,"n.a.")</f>
        <v>9930.1868969658899</v>
      </c>
      <c r="K30" s="112">
        <f t="shared" si="59"/>
        <v>9140.5339999999997</v>
      </c>
      <c r="L30" s="104">
        <f t="shared" si="59"/>
        <v>10498.434999999999</v>
      </c>
      <c r="M30" s="104">
        <f t="shared" si="59"/>
        <v>10546.472</v>
      </c>
      <c r="N30" s="112">
        <f t="shared" si="59"/>
        <v>10601.155000000001</v>
      </c>
      <c r="O30" s="112">
        <f t="shared" si="59"/>
        <v>9682.5320000000011</v>
      </c>
      <c r="P30" s="104">
        <f t="shared" ref="P30:Q30" si="60">IFERROR(P28+P29,"n.a.")</f>
        <v>10173.071</v>
      </c>
      <c r="Q30" s="104">
        <f t="shared" si="60"/>
        <v>9943.6749999999993</v>
      </c>
      <c r="R30" s="104">
        <f t="shared" ref="R30:S30" si="61">IFERROR(R28+R29,"n.a.")</f>
        <v>9925.0120000000006</v>
      </c>
      <c r="S30" s="112">
        <f t="shared" si="61"/>
        <v>8997.5079999999998</v>
      </c>
      <c r="T30" s="2"/>
      <c r="U30" s="2"/>
    </row>
    <row r="31" spans="1:24" x14ac:dyDescent="0.3">
      <c r="A31" s="59"/>
      <c r="B31" s="59"/>
      <c r="C31" s="60"/>
      <c r="D31" s="60"/>
      <c r="E31" s="60"/>
      <c r="F31" s="60"/>
      <c r="G31" s="60"/>
      <c r="H31" s="60"/>
      <c r="I31" s="60"/>
      <c r="J31" s="60"/>
      <c r="K31" s="60"/>
      <c r="L31" s="60"/>
      <c r="M31" s="60"/>
      <c r="N31" s="60"/>
      <c r="O31" s="60"/>
      <c r="P31" s="60"/>
      <c r="Q31" s="60"/>
      <c r="R31" s="60"/>
      <c r="S31" s="60"/>
    </row>
    <row r="32" spans="1:24" x14ac:dyDescent="0.3">
      <c r="A32" s="39" t="s">
        <v>57</v>
      </c>
      <c r="B32" s="37"/>
      <c r="C32" s="81">
        <f t="shared" ref="C32:H32" si="62">C115</f>
        <v>3274.8580000000002</v>
      </c>
      <c r="D32" s="81">
        <f t="shared" si="62"/>
        <v>3002.8809999999994</v>
      </c>
      <c r="E32" s="81">
        <f t="shared" si="62"/>
        <v>4057.3070000000002</v>
      </c>
      <c r="F32" s="81">
        <f t="shared" si="62"/>
        <v>4159.567</v>
      </c>
      <c r="G32" s="81">
        <f t="shared" si="62"/>
        <v>4177.009</v>
      </c>
      <c r="H32" s="81">
        <f t="shared" si="62"/>
        <v>4267.6189999999997</v>
      </c>
      <c r="I32" s="81">
        <f>I115</f>
        <v>4323.2389999999996</v>
      </c>
      <c r="J32" s="81">
        <f>J115</f>
        <v>4464.8</v>
      </c>
      <c r="K32" s="81">
        <f t="shared" ref="K32:L32" si="63">K115</f>
        <v>4550.9269999999997</v>
      </c>
      <c r="L32" s="81">
        <f t="shared" si="63"/>
        <v>4687.9079999999994</v>
      </c>
      <c r="M32" s="81">
        <f t="shared" ref="M32" si="64">M115</f>
        <v>4663.7139999999999</v>
      </c>
      <c r="N32" s="81">
        <f>N115</f>
        <v>4742.402</v>
      </c>
      <c r="O32" s="81">
        <f t="shared" ref="O32:P32" si="65">O115</f>
        <v>4826.6310000000003</v>
      </c>
      <c r="P32" s="81">
        <f t="shared" si="65"/>
        <v>4590.2709999999997</v>
      </c>
      <c r="Q32" s="81">
        <f t="shared" ref="Q32:S32" si="66">Q115</f>
        <v>4404.1440000000002</v>
      </c>
      <c r="R32" s="81">
        <f t="shared" si="66"/>
        <v>4403.8740000000007</v>
      </c>
      <c r="S32" s="81">
        <f t="shared" si="66"/>
        <v>4551.8500000000004</v>
      </c>
      <c r="T32" s="174"/>
      <c r="U32" s="174"/>
      <c r="V32" s="174"/>
      <c r="W32" s="174"/>
      <c r="X32" s="174"/>
    </row>
    <row r="33" spans="1:29" outlineLevel="2" x14ac:dyDescent="0.3">
      <c r="A33" s="65" t="s">
        <v>139</v>
      </c>
      <c r="B33" s="18"/>
      <c r="C33" s="83">
        <f t="shared" ref="C33:O33" si="67">IFERROR(-C54-C62+C86+C87+C88+C98+C99,"n.a.")</f>
        <v>1889.2840000000001</v>
      </c>
      <c r="D33" s="83">
        <f t="shared" si="67"/>
        <v>1714.3870000000002</v>
      </c>
      <c r="E33" s="83">
        <f t="shared" si="67"/>
        <v>1694.7199999999998</v>
      </c>
      <c r="F33" s="83">
        <f t="shared" si="67"/>
        <v>1591.268</v>
      </c>
      <c r="G33" s="83">
        <f t="shared" si="67"/>
        <v>1552.076</v>
      </c>
      <c r="H33" s="83">
        <f t="shared" si="67"/>
        <v>1541.672</v>
      </c>
      <c r="I33" s="83">
        <f t="shared" si="67"/>
        <v>1503.7540000000001</v>
      </c>
      <c r="J33" s="83">
        <f t="shared" si="67"/>
        <v>1427.0920000000001</v>
      </c>
      <c r="K33" s="83">
        <f t="shared" si="67"/>
        <v>1409.4770000000001</v>
      </c>
      <c r="L33" s="83">
        <f t="shared" si="67"/>
        <v>1423.1880000000001</v>
      </c>
      <c r="M33" s="83">
        <f t="shared" si="67"/>
        <v>1391.0779999999997</v>
      </c>
      <c r="N33" s="83">
        <f t="shared" si="67"/>
        <v>1378.598</v>
      </c>
      <c r="O33" s="83">
        <f>IFERROR(-O54-O62+O86+O87+O88+O98+O99,"n.a.")</f>
        <v>1348.6759999999999</v>
      </c>
      <c r="P33" s="83">
        <f>IFERROR(-P54-P62+P86+P87+P88+P98+P99,"n.a.")</f>
        <v>1322.066</v>
      </c>
      <c r="Q33" s="83">
        <f>IFERROR(-Q54-Q62+Q86+Q87+Q88+Q98+Q99,"n.a.")</f>
        <v>1274.8510000000001</v>
      </c>
      <c r="R33" s="83">
        <f>IFERROR(-R54-R62+R86+R87+R88+R98+R99,"n.a.")</f>
        <v>1268.6569999999999</v>
      </c>
      <c r="S33" s="83">
        <f>IFERROR(-S54-S62+S86+S87+S88+S98+S99,"n.a.")</f>
        <v>1187.2829999999999</v>
      </c>
      <c r="U33" s="174"/>
    </row>
    <row r="34" spans="1:29" outlineLevel="2" x14ac:dyDescent="0.3">
      <c r="A34" s="65" t="s">
        <v>136</v>
      </c>
      <c r="B34" s="18"/>
      <c r="C34" s="77">
        <f>'Balance Sheet - FY'!F34</f>
        <v>0</v>
      </c>
      <c r="D34" s="89">
        <v>0</v>
      </c>
      <c r="E34" s="89">
        <v>0</v>
      </c>
      <c r="F34" s="89">
        <v>0</v>
      </c>
      <c r="G34" s="77">
        <f>'Balance Sheet - FY'!G34</f>
        <v>0</v>
      </c>
      <c r="H34" s="89">
        <v>0</v>
      </c>
      <c r="I34" s="89">
        <v>0</v>
      </c>
      <c r="J34" s="89">
        <v>0</v>
      </c>
      <c r="K34" s="77">
        <f>'Balance Sheet - FY'!H34</f>
        <v>0</v>
      </c>
      <c r="L34" s="89">
        <f>'Balance Sheet - FY'!K34</f>
        <v>0</v>
      </c>
      <c r="M34" s="89">
        <v>0</v>
      </c>
      <c r="N34" s="89">
        <v>0</v>
      </c>
      <c r="O34" s="77">
        <f>'Balance Sheet - FY'!I34</f>
        <v>0</v>
      </c>
      <c r="P34" s="89">
        <f>'Balance Sheet - FY'!O34</f>
        <v>0</v>
      </c>
      <c r="Q34" s="89">
        <f>'Balance Sheet - FY'!P34</f>
        <v>0</v>
      </c>
      <c r="R34" s="89">
        <f>'Balance Sheet - FY'!Q34</f>
        <v>0</v>
      </c>
      <c r="S34" s="77">
        <f>'Balance Sheet - FY'!J34</f>
        <v>0</v>
      </c>
      <c r="U34" s="174"/>
    </row>
    <row r="35" spans="1:29" x14ac:dyDescent="0.3">
      <c r="A35" s="32" t="s">
        <v>58</v>
      </c>
      <c r="B35" s="18"/>
      <c r="C35" s="83">
        <f t="shared" ref="C35:K35" si="68">IFERROR(C33+C34,"n.a.")</f>
        <v>1889.2840000000001</v>
      </c>
      <c r="D35" s="83">
        <f t="shared" si="68"/>
        <v>1714.3870000000002</v>
      </c>
      <c r="E35" s="83">
        <f t="shared" si="68"/>
        <v>1694.7199999999998</v>
      </c>
      <c r="F35" s="83">
        <f t="shared" si="68"/>
        <v>1591.268</v>
      </c>
      <c r="G35" s="83">
        <f t="shared" si="68"/>
        <v>1552.076</v>
      </c>
      <c r="H35" s="83">
        <f t="shared" si="68"/>
        <v>1541.672</v>
      </c>
      <c r="I35" s="83">
        <f t="shared" si="68"/>
        <v>1503.7540000000001</v>
      </c>
      <c r="J35" s="83">
        <f t="shared" si="68"/>
        <v>1427.0920000000001</v>
      </c>
      <c r="K35" s="83">
        <f t="shared" si="68"/>
        <v>1409.4770000000001</v>
      </c>
      <c r="L35" s="83">
        <f t="shared" ref="L35:O35" si="69">IFERROR(L33+L34,"n.a.")</f>
        <v>1423.1880000000001</v>
      </c>
      <c r="M35" s="83">
        <f t="shared" si="69"/>
        <v>1391.0779999999997</v>
      </c>
      <c r="N35" s="83">
        <f t="shared" si="69"/>
        <v>1378.598</v>
      </c>
      <c r="O35" s="83">
        <f t="shared" si="69"/>
        <v>1348.6759999999999</v>
      </c>
      <c r="P35" s="83">
        <f t="shared" ref="P35:Q35" si="70">IFERROR(P33+P34,"n.a.")</f>
        <v>1322.066</v>
      </c>
      <c r="Q35" s="83">
        <f t="shared" si="70"/>
        <v>1274.8510000000001</v>
      </c>
      <c r="R35" s="83">
        <f t="shared" ref="R35:S35" si="71">IFERROR(R33+R34,"n.a.")</f>
        <v>1268.6569999999999</v>
      </c>
      <c r="S35" s="83">
        <f t="shared" si="71"/>
        <v>1187.2829999999999</v>
      </c>
      <c r="T35" s="174"/>
      <c r="U35" s="174"/>
      <c r="V35" s="174"/>
      <c r="W35" s="174"/>
      <c r="X35" s="174"/>
    </row>
    <row r="36" spans="1:29" outlineLevel="1" x14ac:dyDescent="0.3">
      <c r="A36" s="32" t="s">
        <v>289</v>
      </c>
      <c r="B36" s="18"/>
      <c r="C36" s="83">
        <f t="shared" ref="C36:K36" si="72">IFERROR(C40-C37,C40)</f>
        <v>4912.831000000001</v>
      </c>
      <c r="D36" s="83">
        <f t="shared" si="72"/>
        <v>5525.2430000000004</v>
      </c>
      <c r="E36" s="83">
        <f t="shared" si="72"/>
        <v>4176.4740000000011</v>
      </c>
      <c r="F36" s="83">
        <f t="shared" si="72"/>
        <v>4287.67</v>
      </c>
      <c r="G36" s="83">
        <f t="shared" si="72"/>
        <v>3218.4949999999994</v>
      </c>
      <c r="H36" s="83">
        <f t="shared" si="72"/>
        <v>3938.8859999999995</v>
      </c>
      <c r="I36" s="83">
        <f t="shared" si="72"/>
        <v>3916.4589999999985</v>
      </c>
      <c r="J36" s="83">
        <f t="shared" si="72"/>
        <v>4038.2950000000005</v>
      </c>
      <c r="K36" s="83">
        <f t="shared" si="72"/>
        <v>3180.1300000000006</v>
      </c>
      <c r="L36" s="83">
        <f>IFERROR(L40-L37,L40)</f>
        <v>3913.0119999999993</v>
      </c>
      <c r="M36" s="83">
        <f>IFERROR(M40-M37,M40)+0.1</f>
        <v>4022.0800000000004</v>
      </c>
      <c r="N36" s="83">
        <f t="shared" ref="N36:O36" si="73">IFERROR(N40-N37,N40)</f>
        <v>4002.3000000000006</v>
      </c>
      <c r="O36" s="83">
        <f t="shared" si="73"/>
        <v>3024.0529999999999</v>
      </c>
      <c r="P36" s="83">
        <f>IFERROR(P40-P37,P40)</f>
        <v>3787.2589999999996</v>
      </c>
      <c r="Q36" s="83">
        <f>IFERROR(Q40-Q37,Q40)</f>
        <v>3782.3160000000003</v>
      </c>
      <c r="R36" s="83">
        <f>IFERROR(R40-R37,R40)</f>
        <v>3780.3689999999997</v>
      </c>
      <c r="S36" s="83">
        <f>IFERROR(S40-S37,"n.a.")</f>
        <v>2792.5220000000004</v>
      </c>
      <c r="T36" s="174"/>
      <c r="U36" s="174"/>
      <c r="V36" s="174"/>
      <c r="W36" s="174"/>
      <c r="X36" s="174"/>
    </row>
    <row r="37" spans="1:29" outlineLevel="1" x14ac:dyDescent="0.3">
      <c r="A37" s="163" t="s">
        <v>290</v>
      </c>
      <c r="B37" s="87"/>
      <c r="C37" s="77" t="str">
        <f>'Balance Sheet - FY'!F37</f>
        <v>n.a.</v>
      </c>
      <c r="D37" s="89" t="s">
        <v>230</v>
      </c>
      <c r="E37" s="89" t="s">
        <v>230</v>
      </c>
      <c r="F37" s="89" t="s">
        <v>230</v>
      </c>
      <c r="G37" s="77" t="str">
        <f>'Balance Sheet - FY'!G37</f>
        <v>n.a.</v>
      </c>
      <c r="H37" s="89" t="s">
        <v>230</v>
      </c>
      <c r="I37" s="89" t="s">
        <v>230</v>
      </c>
      <c r="J37" s="89" t="s">
        <v>230</v>
      </c>
      <c r="K37" s="77" t="str">
        <f>'Balance Sheet - FY'!H37</f>
        <v>n.a.</v>
      </c>
      <c r="L37" s="89">
        <v>474.32799999999997</v>
      </c>
      <c r="M37" s="89">
        <v>469.8</v>
      </c>
      <c r="N37" s="89">
        <v>477.85500000000002</v>
      </c>
      <c r="O37" s="77">
        <f>'Balance Sheet - FY'!I37</f>
        <v>483.17200000000003</v>
      </c>
      <c r="P37" s="89">
        <v>473.47500000000002</v>
      </c>
      <c r="Q37" s="89">
        <v>482.36399999999998</v>
      </c>
      <c r="R37" s="89">
        <v>472.11200000000002</v>
      </c>
      <c r="S37" s="77">
        <f>'Balance Sheet - FY'!J37</f>
        <v>465.85300000000001</v>
      </c>
      <c r="V37" s="174"/>
    </row>
    <row r="38" spans="1:29" hidden="1" outlineLevel="2" x14ac:dyDescent="0.3">
      <c r="A38" s="65" t="s">
        <v>138</v>
      </c>
      <c r="B38" s="18"/>
      <c r="C38" s="83">
        <f t="shared" ref="C38:Q38" si="74">IFERROR(C84+C90+C94+C101-C55-C59-C66-C71-C73-C69-C70,"n.a.")</f>
        <v>4912.831000000001</v>
      </c>
      <c r="D38" s="83">
        <f t="shared" si="74"/>
        <v>5525.2430000000004</v>
      </c>
      <c r="E38" s="83">
        <f t="shared" si="74"/>
        <v>4176.4740000000011</v>
      </c>
      <c r="F38" s="83">
        <f t="shared" si="74"/>
        <v>4287.67</v>
      </c>
      <c r="G38" s="83">
        <f t="shared" si="74"/>
        <v>3218.4949999999994</v>
      </c>
      <c r="H38" s="83">
        <f t="shared" si="74"/>
        <v>3938.8859999999995</v>
      </c>
      <c r="I38" s="83">
        <f t="shared" si="74"/>
        <v>3916.4589999999985</v>
      </c>
      <c r="J38" s="83">
        <f t="shared" si="74"/>
        <v>4038.2950000000005</v>
      </c>
      <c r="K38" s="83">
        <f t="shared" si="74"/>
        <v>3180.1300000000006</v>
      </c>
      <c r="L38" s="83">
        <f t="shared" si="74"/>
        <v>4387.3399999999992</v>
      </c>
      <c r="M38" s="83">
        <f t="shared" si="74"/>
        <v>4491.68</v>
      </c>
      <c r="N38" s="83">
        <f t="shared" si="74"/>
        <v>4480.1550000000007</v>
      </c>
      <c r="O38" s="83">
        <f t="shared" si="74"/>
        <v>3507.2249999999999</v>
      </c>
      <c r="P38" s="83">
        <f t="shared" si="74"/>
        <v>4260.7339999999995</v>
      </c>
      <c r="Q38" s="83">
        <f t="shared" si="74"/>
        <v>4264.68</v>
      </c>
      <c r="R38" s="83">
        <f t="shared" ref="R38:S38" si="75">IFERROR(R84+R90+R94+R101-R55-R59-R66-R71-R73-R69-R70,"n.a.")</f>
        <v>4252.4809999999998</v>
      </c>
      <c r="S38" s="83">
        <f t="shared" si="75"/>
        <v>3258.3750000000005</v>
      </c>
    </row>
    <row r="39" spans="1:29" hidden="1" outlineLevel="2" x14ac:dyDescent="0.3">
      <c r="A39" s="65" t="s">
        <v>137</v>
      </c>
      <c r="B39" s="18"/>
      <c r="C39" s="77">
        <f>'Balance Sheet - FY'!F39</f>
        <v>0</v>
      </c>
      <c r="D39" s="89">
        <v>0</v>
      </c>
      <c r="E39" s="89">
        <v>0</v>
      </c>
      <c r="F39" s="89">
        <v>0</v>
      </c>
      <c r="G39" s="77">
        <f>'Balance Sheet - FY'!G39</f>
        <v>0</v>
      </c>
      <c r="H39" s="89">
        <v>0</v>
      </c>
      <c r="I39" s="89">
        <v>0</v>
      </c>
      <c r="J39" s="89">
        <v>0</v>
      </c>
      <c r="K39" s="77">
        <f>'Balance Sheet - FY'!H39</f>
        <v>0</v>
      </c>
      <c r="L39" s="89">
        <f>'Balance Sheet - FY'!K39</f>
        <v>0</v>
      </c>
      <c r="M39" s="89">
        <v>0</v>
      </c>
      <c r="N39" s="89">
        <v>0</v>
      </c>
      <c r="O39" s="77">
        <f>'Balance Sheet - FY'!I39</f>
        <v>0</v>
      </c>
      <c r="P39" s="89">
        <f>'Balance Sheet - FY'!O39</f>
        <v>0</v>
      </c>
      <c r="Q39" s="89">
        <f>'Balance Sheet - FY'!P39</f>
        <v>0</v>
      </c>
      <c r="R39" s="89">
        <f>'Balance Sheet - FY'!Q39</f>
        <v>0</v>
      </c>
      <c r="S39" s="77">
        <f>'Balance Sheet - FY'!J39</f>
        <v>0</v>
      </c>
    </row>
    <row r="40" spans="1:29" collapsed="1" x14ac:dyDescent="0.3">
      <c r="A40" s="32" t="s">
        <v>291</v>
      </c>
      <c r="B40" s="18"/>
      <c r="C40" s="83">
        <f>IFERROR(C38+C39,"n.a.")</f>
        <v>4912.831000000001</v>
      </c>
      <c r="D40" s="83">
        <f t="shared" ref="D40:L40" si="76">IFERROR(D38+D39,"n.a.")</f>
        <v>5525.2430000000004</v>
      </c>
      <c r="E40" s="83">
        <f t="shared" si="76"/>
        <v>4176.4740000000011</v>
      </c>
      <c r="F40" s="83">
        <f t="shared" si="76"/>
        <v>4287.67</v>
      </c>
      <c r="G40" s="83">
        <f t="shared" si="76"/>
        <v>3218.4949999999994</v>
      </c>
      <c r="H40" s="83">
        <f t="shared" si="76"/>
        <v>3938.8859999999995</v>
      </c>
      <c r="I40" s="83">
        <f t="shared" si="76"/>
        <v>3916.4589999999985</v>
      </c>
      <c r="J40" s="83">
        <f t="shared" si="76"/>
        <v>4038.2950000000005</v>
      </c>
      <c r="K40" s="83">
        <f t="shared" si="76"/>
        <v>3180.1300000000006</v>
      </c>
      <c r="L40" s="83">
        <f t="shared" si="76"/>
        <v>4387.3399999999992</v>
      </c>
      <c r="M40" s="83">
        <f>IFERROR(M38+M39,"n.a.")+0.1</f>
        <v>4491.7800000000007</v>
      </c>
      <c r="N40" s="83">
        <f t="shared" ref="N40:P40" si="77">IFERROR(N38+N39,"n.a.")</f>
        <v>4480.1550000000007</v>
      </c>
      <c r="O40" s="83">
        <f t="shared" si="77"/>
        <v>3507.2249999999999</v>
      </c>
      <c r="P40" s="83">
        <f t="shared" si="77"/>
        <v>4260.7339999999995</v>
      </c>
      <c r="Q40" s="83">
        <f t="shared" ref="Q40:R40" si="78">IFERROR(Q38+Q39,"n.a.")</f>
        <v>4264.68</v>
      </c>
      <c r="R40" s="83">
        <f t="shared" si="78"/>
        <v>4252.4809999999998</v>
      </c>
      <c r="S40" s="77">
        <f>'Balance Sheet - FY'!J40</f>
        <v>3258.3750000000005</v>
      </c>
      <c r="T40" s="174"/>
      <c r="U40" s="174"/>
      <c r="V40" s="174"/>
      <c r="W40" s="174"/>
      <c r="X40" s="174"/>
    </row>
    <row r="41" spans="1:29" s="25" customFormat="1" ht="13" x14ac:dyDescent="0.3">
      <c r="A41" s="103" t="s">
        <v>60</v>
      </c>
      <c r="B41" s="103"/>
      <c r="C41" s="104">
        <f t="shared" ref="C41:K41" si="79">IFERROR(C32+C35+C40,"n.a.")</f>
        <v>10076.973000000002</v>
      </c>
      <c r="D41" s="104">
        <f t="shared" si="79"/>
        <v>10242.511</v>
      </c>
      <c r="E41" s="104">
        <f t="shared" si="79"/>
        <v>9928.5010000000002</v>
      </c>
      <c r="F41" s="104">
        <f t="shared" si="79"/>
        <v>10038.505000000001</v>
      </c>
      <c r="G41" s="104">
        <f t="shared" si="79"/>
        <v>8947.58</v>
      </c>
      <c r="H41" s="104">
        <f t="shared" si="79"/>
        <v>9748.1769999999997</v>
      </c>
      <c r="I41" s="104">
        <f t="shared" si="79"/>
        <v>9743.4519999999975</v>
      </c>
      <c r="J41" s="104">
        <f t="shared" si="79"/>
        <v>9930.1869999999999</v>
      </c>
      <c r="K41" s="104">
        <f t="shared" si="79"/>
        <v>9140.5339999999997</v>
      </c>
      <c r="L41" s="104">
        <f>IFERROR(L32+L35+L40,"n.a.")</f>
        <v>10498.435999999998</v>
      </c>
      <c r="M41" s="104">
        <f>IFERROR(M32+M35+M40,"n.a.")-0.1</f>
        <v>10546.472</v>
      </c>
      <c r="N41" s="104">
        <f t="shared" ref="N41:O41" si="80">IFERROR(N32+N35+N40,"n.a.")</f>
        <v>10601.155000000001</v>
      </c>
      <c r="O41" s="104">
        <f t="shared" si="80"/>
        <v>9682.5320000000011</v>
      </c>
      <c r="P41" s="104">
        <f>IFERROR(P32+P35+P40,"n.a.")</f>
        <v>10173.071</v>
      </c>
      <c r="Q41" s="104">
        <f>IFERROR(Q32+Q35+Q40,"n.a.")</f>
        <v>9943.6750000000011</v>
      </c>
      <c r="R41" s="104">
        <f>IFERROR(R32+R35+R40,"n.a.")</f>
        <v>9925.0120000000006</v>
      </c>
      <c r="S41" s="104">
        <f t="shared" ref="S41" si="81">IFERROR(S32+S35+S40,"n.a.")</f>
        <v>8997.5079999999998</v>
      </c>
      <c r="T41" s="2"/>
      <c r="U41" s="2"/>
    </row>
    <row r="42" spans="1:29" ht="13" x14ac:dyDescent="0.3">
      <c r="V42" s="25"/>
      <c r="W42" s="25"/>
      <c r="X42" s="25"/>
      <c r="Y42" s="25"/>
      <c r="Z42" s="25"/>
      <c r="AA42" s="25"/>
      <c r="AB42" s="25"/>
      <c r="AC42" s="25"/>
    </row>
    <row r="43" spans="1:29" ht="13" x14ac:dyDescent="0.3">
      <c r="V43" s="25"/>
      <c r="W43" s="25"/>
      <c r="X43" s="25"/>
      <c r="Y43" s="25"/>
      <c r="Z43" s="25"/>
      <c r="AA43" s="25"/>
      <c r="AB43" s="25"/>
      <c r="AC43" s="25"/>
    </row>
    <row r="44" spans="1:29" ht="13.5" thickBot="1" x14ac:dyDescent="0.35">
      <c r="A44" s="12" t="s">
        <v>75</v>
      </c>
      <c r="B44" s="12"/>
      <c r="C44" s="14" t="str">
        <f t="shared" ref="C44:P44" si="82">C4</f>
        <v>FY 2016</v>
      </c>
      <c r="D44" s="14" t="str">
        <f t="shared" si="82"/>
        <v>1Q 2017</v>
      </c>
      <c r="E44" s="14" t="str">
        <f t="shared" si="82"/>
        <v>1H 2017</v>
      </c>
      <c r="F44" s="14" t="str">
        <f t="shared" si="82"/>
        <v>9M 2017</v>
      </c>
      <c r="G44" s="14" t="str">
        <f t="shared" si="82"/>
        <v>FY 2017</v>
      </c>
      <c r="H44" s="14" t="str">
        <f t="shared" si="82"/>
        <v>1Q 2018</v>
      </c>
      <c r="I44" s="14" t="str">
        <f t="shared" si="82"/>
        <v>1H 2018</v>
      </c>
      <c r="J44" s="14" t="str">
        <f t="shared" si="82"/>
        <v>9M 2018</v>
      </c>
      <c r="K44" s="14" t="str">
        <f t="shared" si="82"/>
        <v>FY 2018</v>
      </c>
      <c r="L44" s="14" t="str">
        <f t="shared" si="82"/>
        <v>1Q 2019</v>
      </c>
      <c r="M44" s="14" t="str">
        <f t="shared" si="82"/>
        <v>1H 2019</v>
      </c>
      <c r="N44" s="14" t="str">
        <f t="shared" si="82"/>
        <v>9M 2019</v>
      </c>
      <c r="O44" s="14" t="str">
        <f t="shared" si="82"/>
        <v>FY 2019</v>
      </c>
      <c r="P44" s="14" t="str">
        <f t="shared" si="82"/>
        <v>1Q 2020</v>
      </c>
      <c r="Q44" s="14" t="str">
        <f t="shared" ref="Q44:S44" si="83">Q4</f>
        <v>1H 2020</v>
      </c>
      <c r="R44" s="14" t="str">
        <f t="shared" si="83"/>
        <v>9M 2020</v>
      </c>
      <c r="S44" s="14" t="str">
        <f t="shared" si="83"/>
        <v>FY 2020</v>
      </c>
      <c r="V44" s="25"/>
      <c r="W44" s="25"/>
      <c r="X44" s="25"/>
      <c r="Y44" s="25"/>
      <c r="Z44" s="25"/>
      <c r="AA44" s="25"/>
      <c r="AB44" s="25"/>
      <c r="AC44" s="25"/>
    </row>
    <row r="45" spans="1:29" ht="13" x14ac:dyDescent="0.3">
      <c r="C45" s="41" t="str">
        <f t="shared" ref="C45:P45" si="84">C5</f>
        <v>restated</v>
      </c>
      <c r="D45" s="41" t="str">
        <f t="shared" si="84"/>
        <v>reported</v>
      </c>
      <c r="E45" s="41" t="str">
        <f t="shared" si="84"/>
        <v>carve-out</v>
      </c>
      <c r="F45" s="41" t="str">
        <f t="shared" si="84"/>
        <v>reported</v>
      </c>
      <c r="G45" s="41" t="str">
        <f t="shared" si="84"/>
        <v>reported</v>
      </c>
      <c r="H45" s="41" t="str">
        <f t="shared" si="84"/>
        <v>reported</v>
      </c>
      <c r="I45" s="41" t="str">
        <f t="shared" si="84"/>
        <v>reported</v>
      </c>
      <c r="J45" s="41" t="str">
        <f t="shared" si="84"/>
        <v>reported</v>
      </c>
      <c r="K45" s="41" t="str">
        <f t="shared" si="84"/>
        <v>reported</v>
      </c>
      <c r="L45" s="41" t="str">
        <f t="shared" si="84"/>
        <v>reported</v>
      </c>
      <c r="M45" s="41" t="str">
        <f t="shared" si="84"/>
        <v>reported</v>
      </c>
      <c r="N45" s="41" t="str">
        <f t="shared" si="84"/>
        <v>reported</v>
      </c>
      <c r="O45" s="41" t="str">
        <f t="shared" si="84"/>
        <v>reported</v>
      </c>
      <c r="P45" s="41" t="str">
        <f t="shared" si="84"/>
        <v>reported</v>
      </c>
      <c r="Q45" s="41" t="str">
        <f t="shared" ref="Q45:S45" si="85">Q5</f>
        <v>reported</v>
      </c>
      <c r="R45" s="41" t="str">
        <f t="shared" si="85"/>
        <v>reported</v>
      </c>
      <c r="S45" s="41" t="str">
        <f t="shared" si="85"/>
        <v>reported</v>
      </c>
      <c r="V45" s="25"/>
      <c r="W45" s="25"/>
      <c r="X45" s="25"/>
      <c r="Y45" s="25"/>
      <c r="Z45" s="25"/>
      <c r="AA45" s="25"/>
      <c r="AB45" s="25"/>
      <c r="AC45" s="25"/>
    </row>
    <row r="46" spans="1:29" ht="13" x14ac:dyDescent="0.3">
      <c r="V46" s="25"/>
      <c r="W46" s="25"/>
      <c r="X46" s="25"/>
      <c r="Y46" s="25"/>
      <c r="Z46" s="25"/>
      <c r="AA46" s="25"/>
      <c r="AB46" s="25"/>
      <c r="AC46" s="25"/>
    </row>
    <row r="47" spans="1:29" ht="13" outlineLevel="1" x14ac:dyDescent="0.3">
      <c r="A47" s="66" t="s">
        <v>0</v>
      </c>
      <c r="B47" s="37"/>
      <c r="C47" s="119">
        <f>'Balance Sheet - FY'!F47</f>
        <v>3556.6350000000002</v>
      </c>
      <c r="D47" s="90">
        <v>2980.0859999999998</v>
      </c>
      <c r="E47" s="90">
        <v>2927.2</v>
      </c>
      <c r="F47" s="90">
        <v>2968.2190000000001</v>
      </c>
      <c r="G47" s="119">
        <f>'Balance Sheet - FY'!G47</f>
        <v>2980.2939999999999</v>
      </c>
      <c r="H47" s="90">
        <v>3004.1410000000001</v>
      </c>
      <c r="I47" s="90">
        <v>2970.884</v>
      </c>
      <c r="J47" s="90">
        <v>3001.4388969658894</v>
      </c>
      <c r="K47" s="119">
        <f>'Balance Sheet - FY'!H47</f>
        <v>3092.9270000000001</v>
      </c>
      <c r="L47" s="90">
        <v>3621.0349999999999</v>
      </c>
      <c r="M47" s="90">
        <v>3593.5940000000001</v>
      </c>
      <c r="N47" s="90">
        <v>3593.2420000000002</v>
      </c>
      <c r="O47" s="119">
        <f>'Balance Sheet - FY'!I47</f>
        <v>3649.8090000000002</v>
      </c>
      <c r="P47" s="90">
        <v>3409.1579999999999</v>
      </c>
      <c r="Q47" s="90">
        <v>3309.7579999999998</v>
      </c>
      <c r="R47" s="90">
        <v>3187.4229999999998</v>
      </c>
      <c r="S47" s="119">
        <f>'Balance Sheet - FY'!J47</f>
        <v>3159.7669999999998</v>
      </c>
      <c r="V47" s="25"/>
      <c r="W47" s="25"/>
      <c r="X47" s="25"/>
      <c r="Y47" s="25"/>
      <c r="Z47" s="25"/>
      <c r="AA47" s="25"/>
      <c r="AB47" s="25"/>
      <c r="AC47" s="25"/>
    </row>
    <row r="48" spans="1:29" ht="13" outlineLevel="1" x14ac:dyDescent="0.3">
      <c r="A48" s="65" t="s">
        <v>1</v>
      </c>
      <c r="B48" s="18"/>
      <c r="C48" s="78">
        <f>'Balance Sheet - FY'!F48</f>
        <v>6496.8890000000001</v>
      </c>
      <c r="D48" s="72">
        <v>5968.5029999999997</v>
      </c>
      <c r="E48" s="72">
        <v>5940.3819999999996</v>
      </c>
      <c r="F48" s="72">
        <v>5910.33</v>
      </c>
      <c r="G48" s="78">
        <f>'Balance Sheet - FY'!G48</f>
        <v>5893.7039999999997</v>
      </c>
      <c r="H48" s="72">
        <v>5862.2629999999999</v>
      </c>
      <c r="I48" s="72">
        <v>5832.19</v>
      </c>
      <c r="J48" s="89">
        <v>5803.2489999999998</v>
      </c>
      <c r="K48" s="78">
        <f>'Balance Sheet - FY'!H48</f>
        <v>5783.3379999999997</v>
      </c>
      <c r="L48" s="72">
        <v>5753.3540000000003</v>
      </c>
      <c r="M48" s="72">
        <v>5725.6270000000004</v>
      </c>
      <c r="N48" s="72">
        <v>5697.9229999999998</v>
      </c>
      <c r="O48" s="78">
        <f>'Balance Sheet - FY'!I48</f>
        <v>5680.1750000000002</v>
      </c>
      <c r="P48" s="72">
        <v>5648.0069999999996</v>
      </c>
      <c r="Q48" s="72">
        <v>5639.8109999999997</v>
      </c>
      <c r="R48" s="72">
        <v>5609.0630000000001</v>
      </c>
      <c r="S48" s="78">
        <f>'Balance Sheet - FY'!J48</f>
        <v>5582.0330000000004</v>
      </c>
      <c r="V48" s="25"/>
      <c r="W48" s="25"/>
      <c r="X48" s="25"/>
      <c r="Y48" s="25"/>
      <c r="Z48" s="25"/>
      <c r="AA48" s="25"/>
      <c r="AB48" s="25"/>
      <c r="AC48" s="25"/>
    </row>
    <row r="49" spans="1:29" ht="13" outlineLevel="1" x14ac:dyDescent="0.3">
      <c r="A49" s="247" t="s">
        <v>62</v>
      </c>
      <c r="B49" s="248"/>
      <c r="C49" s="249">
        <f>'Balance Sheet - FY'!F49</f>
        <v>2351.2629999999999</v>
      </c>
      <c r="D49" s="250">
        <v>1877.3630000000001</v>
      </c>
      <c r="E49" s="250">
        <v>1877.3630000000001</v>
      </c>
      <c r="F49" s="251">
        <v>1877.3630000000001</v>
      </c>
      <c r="G49" s="252">
        <f>'Balance Sheet - FY'!G49</f>
        <v>1877.3630000000001</v>
      </c>
      <c r="H49" s="250">
        <v>1877.3630000000001</v>
      </c>
      <c r="I49" s="250">
        <v>1877.3630000000001</v>
      </c>
      <c r="J49" s="250">
        <v>1877.3630000000001</v>
      </c>
      <c r="K49" s="252">
        <f>'Balance Sheet - FY'!H49</f>
        <v>1886.9</v>
      </c>
      <c r="L49" s="250">
        <v>1886.999</v>
      </c>
      <c r="M49" s="250">
        <v>1886.999</v>
      </c>
      <c r="N49" s="250">
        <v>1886.999</v>
      </c>
      <c r="O49" s="252">
        <f>'Balance Sheet - FY'!I49</f>
        <v>1886.9</v>
      </c>
      <c r="P49" s="250">
        <v>1884.981</v>
      </c>
      <c r="Q49" s="250">
        <v>1884.451</v>
      </c>
      <c r="R49" s="250">
        <v>1883.95866</v>
      </c>
      <c r="S49" s="252">
        <f>'Balance Sheet - FY'!J49</f>
        <v>1883.9449999999999</v>
      </c>
      <c r="V49" s="25"/>
      <c r="W49" s="25"/>
      <c r="X49" s="25"/>
      <c r="Y49" s="25"/>
      <c r="Z49" s="25"/>
      <c r="AA49" s="25"/>
      <c r="AB49" s="25"/>
      <c r="AC49" s="25"/>
    </row>
    <row r="50" spans="1:29" ht="13" outlineLevel="1" x14ac:dyDescent="0.3">
      <c r="A50" s="65" t="s">
        <v>63</v>
      </c>
      <c r="B50" s="18"/>
      <c r="C50" s="78">
        <f>'Balance Sheet - FY'!F50</f>
        <v>47.01</v>
      </c>
      <c r="D50" s="72">
        <v>43.825000000000003</v>
      </c>
      <c r="E50" s="72">
        <v>42.966000000000001</v>
      </c>
      <c r="F50" s="72">
        <v>40.302</v>
      </c>
      <c r="G50" s="78">
        <f>'Balance Sheet - FY'!G50</f>
        <v>17.48</v>
      </c>
      <c r="H50" s="72">
        <v>11.888</v>
      </c>
      <c r="I50" s="72">
        <v>8.3469999999999995</v>
      </c>
      <c r="J50" s="89">
        <v>8.4440000000000008</v>
      </c>
      <c r="K50" s="78">
        <f>'Balance Sheet - FY'!H50</f>
        <v>72.704999999999998</v>
      </c>
      <c r="L50" s="72">
        <v>92.11</v>
      </c>
      <c r="M50" s="72">
        <v>88.540999999999997</v>
      </c>
      <c r="N50" s="72">
        <v>85.055000000000007</v>
      </c>
      <c r="O50" s="78">
        <f>'Balance Sheet - FY'!I50</f>
        <v>80.846000000000004</v>
      </c>
      <c r="P50" s="72">
        <v>76.132999999999996</v>
      </c>
      <c r="Q50" s="72">
        <v>76.004999999999995</v>
      </c>
      <c r="R50" s="72">
        <v>72.915999999999997</v>
      </c>
      <c r="S50" s="78">
        <f>'Balance Sheet - FY'!J50</f>
        <v>72.587999999999994</v>
      </c>
      <c r="V50" s="25"/>
      <c r="W50" s="25"/>
      <c r="X50" s="25"/>
      <c r="Y50" s="25"/>
      <c r="Z50" s="25"/>
      <c r="AA50" s="25"/>
      <c r="AB50" s="25"/>
      <c r="AC50" s="25"/>
    </row>
    <row r="51" spans="1:29" ht="13" outlineLevel="1" x14ac:dyDescent="0.3">
      <c r="A51" s="65" t="s">
        <v>64</v>
      </c>
      <c r="B51" s="18"/>
      <c r="C51" s="77">
        <f>'Balance Sheet - FY'!F51</f>
        <v>198.691</v>
      </c>
      <c r="D51" s="72">
        <v>221.16499999999999</v>
      </c>
      <c r="E51" s="72">
        <v>220.90899999999999</v>
      </c>
      <c r="F51" s="72">
        <v>228.51300000000001</v>
      </c>
      <c r="G51" s="78">
        <f>'Balance Sheet - FY'!G51</f>
        <v>229.51900000000001</v>
      </c>
      <c r="H51" s="72">
        <v>0</v>
      </c>
      <c r="I51" s="72">
        <v>0</v>
      </c>
      <c r="J51" s="89">
        <v>0</v>
      </c>
      <c r="K51" s="78">
        <f>'Balance Sheet - FY'!H51</f>
        <v>0</v>
      </c>
      <c r="L51" s="72">
        <v>0</v>
      </c>
      <c r="M51" s="72">
        <v>0</v>
      </c>
      <c r="N51" s="72">
        <v>0</v>
      </c>
      <c r="O51" s="78">
        <f>'Balance Sheet - FY'!I51</f>
        <v>0</v>
      </c>
      <c r="P51" s="72">
        <v>0</v>
      </c>
      <c r="Q51" s="72">
        <v>0</v>
      </c>
      <c r="R51" s="72">
        <v>0</v>
      </c>
      <c r="S51" s="78">
        <f>'Balance Sheet - FY'!J51</f>
        <v>0</v>
      </c>
      <c r="V51" s="25"/>
      <c r="W51" s="25"/>
      <c r="Y51" s="25"/>
      <c r="Z51" s="25"/>
      <c r="AA51" s="25"/>
      <c r="AB51" s="25"/>
      <c r="AC51" s="25"/>
    </row>
    <row r="52" spans="1:29" ht="13" outlineLevel="1" x14ac:dyDescent="0.3">
      <c r="A52" s="65" t="s">
        <v>242</v>
      </c>
      <c r="B52" s="18"/>
      <c r="C52" s="77">
        <f>'Balance Sheet - FY'!F52</f>
        <v>0</v>
      </c>
      <c r="D52" s="72">
        <v>0</v>
      </c>
      <c r="E52" s="72">
        <v>0</v>
      </c>
      <c r="F52" s="72">
        <v>0</v>
      </c>
      <c r="G52" s="78">
        <f>'Balance Sheet - FY'!G52</f>
        <v>0</v>
      </c>
      <c r="H52" s="72">
        <v>0</v>
      </c>
      <c r="I52" s="72">
        <v>0</v>
      </c>
      <c r="J52" s="89">
        <v>0</v>
      </c>
      <c r="K52" s="78">
        <f>'Balance Sheet - FY'!H52</f>
        <v>0</v>
      </c>
      <c r="L52" s="72">
        <v>0</v>
      </c>
      <c r="M52" s="72">
        <v>0</v>
      </c>
      <c r="N52" s="72">
        <v>0</v>
      </c>
      <c r="O52" s="78">
        <f>'Balance Sheet - FY'!I52</f>
        <v>0</v>
      </c>
      <c r="P52" s="72">
        <v>0</v>
      </c>
      <c r="Q52" s="72">
        <v>0</v>
      </c>
      <c r="R52" s="72">
        <v>0</v>
      </c>
      <c r="S52" s="78">
        <f>'Balance Sheet - FY'!J52</f>
        <v>0</v>
      </c>
      <c r="V52" s="25"/>
      <c r="W52" s="25"/>
      <c r="Y52" s="25"/>
      <c r="Z52" s="25"/>
      <c r="AA52" s="25"/>
      <c r="AB52" s="25"/>
      <c r="AC52" s="25"/>
    </row>
    <row r="53" spans="1:29" ht="13" outlineLevel="1" x14ac:dyDescent="0.3">
      <c r="A53" s="65" t="s">
        <v>313</v>
      </c>
      <c r="B53" s="18"/>
      <c r="C53" s="77">
        <f>'Balance Sheet - FY'!F53</f>
        <v>0</v>
      </c>
      <c r="D53" s="72">
        <v>0</v>
      </c>
      <c r="E53" s="72">
        <v>0</v>
      </c>
      <c r="F53" s="72">
        <v>0</v>
      </c>
      <c r="G53" s="78">
        <f>'Balance Sheet - FY'!G53</f>
        <v>0</v>
      </c>
      <c r="H53" s="72">
        <v>79.918000000000006</v>
      </c>
      <c r="I53" s="72">
        <v>69.8</v>
      </c>
      <c r="J53" s="89">
        <v>67.504999999999995</v>
      </c>
      <c r="K53" s="78">
        <f>'Balance Sheet - FY'!H53</f>
        <v>68.781000000000006</v>
      </c>
      <c r="L53" s="72">
        <v>75.650000000000006</v>
      </c>
      <c r="M53" s="72">
        <v>67.427999999999997</v>
      </c>
      <c r="N53" s="72">
        <v>60.51</v>
      </c>
      <c r="O53" s="78">
        <f>'Balance Sheet - FY'!I53</f>
        <v>58.966999999999999</v>
      </c>
      <c r="P53" s="72">
        <v>41.575000000000003</v>
      </c>
      <c r="Q53" s="72">
        <v>42.143000000000001</v>
      </c>
      <c r="R53" s="72">
        <v>39.414999999999999</v>
      </c>
      <c r="S53" s="78">
        <f>'Balance Sheet - FY'!J53</f>
        <v>42.72</v>
      </c>
      <c r="V53" s="25"/>
      <c r="W53" s="25"/>
      <c r="X53" s="25"/>
      <c r="Y53" s="25"/>
      <c r="Z53" s="25"/>
      <c r="AA53" s="25"/>
      <c r="AB53" s="25"/>
      <c r="AC53" s="25"/>
    </row>
    <row r="54" spans="1:29" ht="13" outlineLevel="1" x14ac:dyDescent="0.3">
      <c r="A54" s="65" t="s">
        <v>65</v>
      </c>
      <c r="B54" s="18"/>
      <c r="C54" s="77">
        <f>'Balance Sheet - FY'!F54</f>
        <v>147.964</v>
      </c>
      <c r="D54" s="72">
        <v>115.78</v>
      </c>
      <c r="E54" s="72">
        <v>158.38</v>
      </c>
      <c r="F54" s="72">
        <v>194.239</v>
      </c>
      <c r="G54" s="78">
        <f>'Balance Sheet - FY'!G54</f>
        <v>111.553</v>
      </c>
      <c r="H54" s="72">
        <v>104.785</v>
      </c>
      <c r="I54" s="72">
        <v>85.393000000000001</v>
      </c>
      <c r="J54" s="89">
        <v>72.073999999999998</v>
      </c>
      <c r="K54" s="78">
        <f>'Balance Sheet - FY'!H54</f>
        <v>74.117999999999995</v>
      </c>
      <c r="L54" s="72">
        <v>59.25</v>
      </c>
      <c r="M54" s="72">
        <v>67.513999999999996</v>
      </c>
      <c r="N54" s="72">
        <v>67.95</v>
      </c>
      <c r="O54" s="78">
        <f>'Balance Sheet - FY'!I54</f>
        <v>81.188000000000002</v>
      </c>
      <c r="P54" s="72">
        <v>81.248000000000005</v>
      </c>
      <c r="Q54" s="72">
        <v>120.679</v>
      </c>
      <c r="R54" s="72">
        <v>105.155</v>
      </c>
      <c r="S54" s="78">
        <f>'Balance Sheet - FY'!J54</f>
        <v>109.378</v>
      </c>
      <c r="V54" s="25"/>
      <c r="W54" s="25"/>
      <c r="X54" s="25"/>
      <c r="Y54" s="25"/>
      <c r="Z54" s="25"/>
      <c r="AA54" s="25"/>
      <c r="AB54" s="25"/>
      <c r="AC54" s="25"/>
    </row>
    <row r="55" spans="1:29" ht="13" hidden="1" outlineLevel="2" x14ac:dyDescent="0.3">
      <c r="A55" s="93" t="s">
        <v>133</v>
      </c>
      <c r="B55" s="18"/>
      <c r="C55" s="77">
        <f>'Balance Sheet - FY'!F55</f>
        <v>95.713999999999999</v>
      </c>
      <c r="D55" s="89">
        <v>98.578999999999994</v>
      </c>
      <c r="E55" s="89">
        <v>110.97</v>
      </c>
      <c r="F55" s="72">
        <v>109.36499999999999</v>
      </c>
      <c r="G55" s="78">
        <f>'Balance Sheet - FY'!G55</f>
        <v>94.584999999999994</v>
      </c>
      <c r="H55" s="89">
        <v>92.641000000000005</v>
      </c>
      <c r="I55" s="89">
        <v>87.024000000000001</v>
      </c>
      <c r="J55" s="89">
        <v>85.754999999999995</v>
      </c>
      <c r="K55" s="78">
        <f>'Balance Sheet - FY'!H55</f>
        <v>123.547</v>
      </c>
      <c r="L55" s="89">
        <v>112.76100000000001</v>
      </c>
      <c r="M55" s="89">
        <v>114.623</v>
      </c>
      <c r="N55" s="89">
        <v>115.633</v>
      </c>
      <c r="O55" s="78">
        <f>'Balance Sheet - FY'!I55</f>
        <v>135.99600000000001</v>
      </c>
      <c r="P55" s="89">
        <v>282.459</v>
      </c>
      <c r="Q55" s="89">
        <v>272.04599999999999</v>
      </c>
      <c r="R55" s="89">
        <v>263.411</v>
      </c>
      <c r="S55" s="78">
        <f>'Balance Sheet - FY'!J55</f>
        <v>265.94499999999999</v>
      </c>
      <c r="V55" s="25"/>
      <c r="W55" s="25"/>
      <c r="X55" s="25"/>
      <c r="Y55" s="25"/>
      <c r="Z55" s="25"/>
      <c r="AA55" s="25"/>
      <c r="AB55" s="25"/>
      <c r="AC55" s="25"/>
    </row>
    <row r="56" spans="1:29" ht="13" hidden="1" outlineLevel="2" x14ac:dyDescent="0.3">
      <c r="A56" s="93" t="s">
        <v>134</v>
      </c>
      <c r="B56" s="18"/>
      <c r="C56" s="77">
        <f>'Balance Sheet - FY'!F56</f>
        <v>131.154</v>
      </c>
      <c r="D56" s="89">
        <v>113.58800000000001</v>
      </c>
      <c r="E56" s="89">
        <v>104.76400000000001</v>
      </c>
      <c r="F56" s="72">
        <v>112.63600000000001</v>
      </c>
      <c r="G56" s="78">
        <f>'Balance Sheet - FY'!G56</f>
        <v>109.46599999999999</v>
      </c>
      <c r="H56" s="89">
        <v>116.06499999999998</v>
      </c>
      <c r="I56" s="89">
        <v>108.43799999999999</v>
      </c>
      <c r="J56" s="89">
        <v>106.268</v>
      </c>
      <c r="K56" s="78">
        <f>'Balance Sheet - FY'!H56</f>
        <v>102.16</v>
      </c>
      <c r="L56" s="89">
        <v>101.57899999999999</v>
      </c>
      <c r="M56" s="89">
        <v>288.416</v>
      </c>
      <c r="N56" s="89">
        <v>222.834</v>
      </c>
      <c r="O56" s="78">
        <f>'Balance Sheet - FY'!I56</f>
        <v>206.40099999999998</v>
      </c>
      <c r="P56" s="89">
        <v>166.00900000000001</v>
      </c>
      <c r="Q56" s="89">
        <v>145.22000000000003</v>
      </c>
      <c r="R56" s="89">
        <v>145.11099999999999</v>
      </c>
      <c r="S56" s="78">
        <f>'Balance Sheet - FY'!J56</f>
        <v>136.20300000000003</v>
      </c>
      <c r="V56" s="25"/>
      <c r="W56" s="25"/>
      <c r="X56" s="25"/>
      <c r="Y56" s="25"/>
      <c r="Z56" s="25"/>
      <c r="AA56" s="25"/>
      <c r="AB56" s="25"/>
      <c r="AC56" s="25"/>
    </row>
    <row r="57" spans="1:29" ht="13" outlineLevel="1" collapsed="1" x14ac:dyDescent="0.3">
      <c r="A57" s="65" t="s">
        <v>66</v>
      </c>
      <c r="B57" s="18"/>
      <c r="C57" s="84">
        <f t="shared" ref="C57:J57" si="86">IFERROR(C55+C56,"n.a.")</f>
        <v>226.86799999999999</v>
      </c>
      <c r="D57" s="84">
        <f t="shared" si="86"/>
        <v>212.167</v>
      </c>
      <c r="E57" s="84">
        <f t="shared" si="86"/>
        <v>215.73400000000001</v>
      </c>
      <c r="F57" s="84">
        <f t="shared" si="86"/>
        <v>222.001</v>
      </c>
      <c r="G57" s="84">
        <f t="shared" si="86"/>
        <v>204.05099999999999</v>
      </c>
      <c r="H57" s="84">
        <f t="shared" si="86"/>
        <v>208.70599999999999</v>
      </c>
      <c r="I57" s="84">
        <f t="shared" si="86"/>
        <v>195.46199999999999</v>
      </c>
      <c r="J57" s="84">
        <f t="shared" si="86"/>
        <v>192.023</v>
      </c>
      <c r="K57" s="84">
        <f>IFERROR(K55+K56,"n.a.")</f>
        <v>225.70699999999999</v>
      </c>
      <c r="L57" s="84">
        <f t="shared" ref="L57:M57" si="87">IFERROR(L55+L56,"n.a.")</f>
        <v>214.34</v>
      </c>
      <c r="M57" s="84">
        <f t="shared" si="87"/>
        <v>403.03899999999999</v>
      </c>
      <c r="N57" s="84">
        <f t="shared" ref="N57" si="88">IFERROR(N55+N56,"n.a.")</f>
        <v>338.46699999999998</v>
      </c>
      <c r="O57" s="84">
        <f>IFERROR(O55+O56,"n.a.")</f>
        <v>342.39699999999999</v>
      </c>
      <c r="P57" s="84">
        <f t="shared" ref="P57:Q57" si="89">IFERROR(P55+P56,"n.a.")</f>
        <v>448.46800000000002</v>
      </c>
      <c r="Q57" s="84">
        <f t="shared" si="89"/>
        <v>417.26600000000002</v>
      </c>
      <c r="R57" s="84">
        <f t="shared" ref="R57" si="90">IFERROR(R55+R56,"n.a.")</f>
        <v>408.52199999999999</v>
      </c>
      <c r="S57" s="84">
        <f>IFERROR(S55+S56,"n.a.")</f>
        <v>402.14800000000002</v>
      </c>
      <c r="V57" s="25"/>
      <c r="W57" s="25"/>
      <c r="X57" s="25"/>
      <c r="Y57" s="25"/>
      <c r="Z57" s="25"/>
      <c r="AA57" s="25"/>
      <c r="AB57" s="25"/>
      <c r="AC57" s="25"/>
    </row>
    <row r="58" spans="1:29" ht="13" outlineLevel="1" x14ac:dyDescent="0.3">
      <c r="A58" s="65" t="s">
        <v>67</v>
      </c>
      <c r="B58" s="18"/>
      <c r="C58" s="77">
        <f>'Balance Sheet - FY'!F58</f>
        <v>11.864000000000001</v>
      </c>
      <c r="D58" s="72">
        <v>20.765999999999998</v>
      </c>
      <c r="E58" s="72">
        <v>21.971</v>
      </c>
      <c r="F58" s="72">
        <v>21.478999999999999</v>
      </c>
      <c r="G58" s="78">
        <f>'Balance Sheet - FY'!G58</f>
        <v>27.318000000000001</v>
      </c>
      <c r="H58" s="72">
        <v>24.908000000000001</v>
      </c>
      <c r="I58" s="72">
        <v>18.495000000000001</v>
      </c>
      <c r="J58" s="89">
        <v>14.827999999999999</v>
      </c>
      <c r="K58" s="78">
        <f>'Balance Sheet - FY'!H58</f>
        <v>16.169</v>
      </c>
      <c r="L58" s="72">
        <v>15.335000000000001</v>
      </c>
      <c r="M58" s="72">
        <v>15.718</v>
      </c>
      <c r="N58" s="72">
        <v>15.648</v>
      </c>
      <c r="O58" s="78">
        <f>'Balance Sheet - FY'!I58</f>
        <v>9.14</v>
      </c>
      <c r="P58" s="72">
        <v>9.08</v>
      </c>
      <c r="Q58" s="72">
        <v>7.5540000000000003</v>
      </c>
      <c r="R58" s="72">
        <v>6.18</v>
      </c>
      <c r="S58" s="78">
        <f>'Balance Sheet - FY'!J58</f>
        <v>4.7610000000000001</v>
      </c>
      <c r="V58" s="25"/>
      <c r="W58" s="25"/>
      <c r="X58" s="25"/>
      <c r="Y58" s="25"/>
      <c r="Z58" s="25"/>
      <c r="AA58" s="25"/>
      <c r="AB58" s="25"/>
      <c r="AC58" s="25"/>
    </row>
    <row r="59" spans="1:29" ht="13" hidden="1" outlineLevel="2" x14ac:dyDescent="0.3">
      <c r="A59" s="93" t="s">
        <v>259</v>
      </c>
      <c r="B59" s="18"/>
      <c r="C59" s="77">
        <f>'Balance Sheet - FY'!F59</f>
        <v>0</v>
      </c>
      <c r="D59" s="89">
        <v>0</v>
      </c>
      <c r="E59" s="89">
        <v>0</v>
      </c>
      <c r="F59" s="72">
        <v>0</v>
      </c>
      <c r="G59" s="78">
        <f>'Balance Sheet - FY'!G59</f>
        <v>0</v>
      </c>
      <c r="H59" s="89">
        <v>0</v>
      </c>
      <c r="I59" s="89">
        <v>9.5370000000000008</v>
      </c>
      <c r="J59" s="89">
        <v>9.3330000000000002</v>
      </c>
      <c r="K59" s="78">
        <f>'Balance Sheet - FY'!H59</f>
        <v>20.134</v>
      </c>
      <c r="L59" s="89">
        <v>36.637</v>
      </c>
      <c r="M59" s="89">
        <v>17.63</v>
      </c>
      <c r="N59" s="89">
        <v>93.658000000000001</v>
      </c>
      <c r="O59" s="78">
        <f>'Balance Sheet - FY'!I59</f>
        <v>52.515000000000001</v>
      </c>
      <c r="P59" s="89">
        <v>90.433999999999997</v>
      </c>
      <c r="Q59" s="89">
        <v>57.061</v>
      </c>
      <c r="R59" s="89">
        <v>1.788</v>
      </c>
      <c r="S59" s="78">
        <f>'Balance Sheet - FY'!J59</f>
        <v>0</v>
      </c>
      <c r="V59" s="25"/>
      <c r="W59" s="25"/>
      <c r="X59" s="25"/>
      <c r="Y59" s="25"/>
      <c r="Z59" s="25"/>
      <c r="AA59" s="25"/>
      <c r="AB59" s="25"/>
      <c r="AC59" s="25"/>
    </row>
    <row r="60" spans="1:29" ht="13" hidden="1" outlineLevel="2" x14ac:dyDescent="0.3">
      <c r="A60" s="93" t="s">
        <v>260</v>
      </c>
      <c r="B60" s="18"/>
      <c r="C60" s="77">
        <f>'Balance Sheet - FY'!F60</f>
        <v>0</v>
      </c>
      <c r="D60" s="89">
        <v>0</v>
      </c>
      <c r="E60" s="89">
        <v>0</v>
      </c>
      <c r="F60" s="72">
        <v>0</v>
      </c>
      <c r="G60" s="78">
        <f>'Balance Sheet - FY'!G60</f>
        <v>0.84799999999999998</v>
      </c>
      <c r="H60" s="89">
        <v>0.61499999999999999</v>
      </c>
      <c r="I60" s="89">
        <v>0</v>
      </c>
      <c r="J60" s="89">
        <v>0</v>
      </c>
      <c r="K60" s="78">
        <f>'Balance Sheet - FY'!H60</f>
        <v>0</v>
      </c>
      <c r="L60" s="89">
        <v>0</v>
      </c>
      <c r="M60" s="89">
        <v>0</v>
      </c>
      <c r="N60" s="89">
        <v>0</v>
      </c>
      <c r="O60" s="78">
        <f>'Balance Sheet - FY'!I60</f>
        <v>0</v>
      </c>
      <c r="P60" s="89">
        <v>0</v>
      </c>
      <c r="Q60" s="89">
        <v>0</v>
      </c>
      <c r="R60" s="89">
        <v>0</v>
      </c>
      <c r="S60" s="78">
        <f>'Balance Sheet - FY'!J60</f>
        <v>0</v>
      </c>
      <c r="V60" s="25"/>
      <c r="W60" s="25"/>
      <c r="X60" s="25"/>
      <c r="Y60" s="25"/>
      <c r="Z60" s="25"/>
      <c r="AA60" s="25"/>
      <c r="AB60" s="25"/>
      <c r="AC60" s="25"/>
    </row>
    <row r="61" spans="1:29" ht="13" outlineLevel="1" collapsed="1" x14ac:dyDescent="0.3">
      <c r="A61" s="121" t="s">
        <v>71</v>
      </c>
      <c r="B61" s="87"/>
      <c r="C61" s="83">
        <f t="shared" ref="C61:J61" si="91">IFERROR(C59+C60,"n.a.")</f>
        <v>0</v>
      </c>
      <c r="D61" s="83">
        <f t="shared" si="91"/>
        <v>0</v>
      </c>
      <c r="E61" s="83">
        <f t="shared" si="91"/>
        <v>0</v>
      </c>
      <c r="F61" s="83">
        <f t="shared" si="91"/>
        <v>0</v>
      </c>
      <c r="G61" s="83">
        <f t="shared" si="91"/>
        <v>0.84799999999999998</v>
      </c>
      <c r="H61" s="83">
        <f t="shared" si="91"/>
        <v>0.61499999999999999</v>
      </c>
      <c r="I61" s="83">
        <f t="shared" si="91"/>
        <v>9.5370000000000008</v>
      </c>
      <c r="J61" s="83">
        <f t="shared" si="91"/>
        <v>9.3330000000000002</v>
      </c>
      <c r="K61" s="83">
        <f>IFERROR(K59+K60,"n.a.")</f>
        <v>20.134</v>
      </c>
      <c r="L61" s="83">
        <f t="shared" ref="L61:M61" si="92">IFERROR(L59+L60,"n.a.")</f>
        <v>36.637</v>
      </c>
      <c r="M61" s="83">
        <f t="shared" si="92"/>
        <v>17.63</v>
      </c>
      <c r="N61" s="83">
        <f t="shared" ref="N61" si="93">IFERROR(N59+N60,"n.a.")</f>
        <v>93.658000000000001</v>
      </c>
      <c r="O61" s="83">
        <f>IFERROR(O59+O60,"n.a.")</f>
        <v>52.515000000000001</v>
      </c>
      <c r="P61" s="83">
        <f t="shared" ref="P61:Q61" si="94">IFERROR(P59+P60,"n.a.")</f>
        <v>90.433999999999997</v>
      </c>
      <c r="Q61" s="83">
        <f t="shared" si="94"/>
        <v>57.061</v>
      </c>
      <c r="R61" s="83">
        <f t="shared" ref="R61" si="95">IFERROR(R59+R60,"n.a.")</f>
        <v>1.788</v>
      </c>
      <c r="S61" s="83">
        <f>IFERROR(S59+S60,"n.a.")</f>
        <v>0</v>
      </c>
      <c r="V61" s="25"/>
      <c r="W61" s="25"/>
      <c r="X61" s="25"/>
      <c r="Y61" s="25"/>
      <c r="Z61" s="25"/>
      <c r="AA61" s="25"/>
      <c r="AB61" s="25"/>
      <c r="AC61" s="25"/>
    </row>
    <row r="62" spans="1:29" ht="13" outlineLevel="1" x14ac:dyDescent="0.3">
      <c r="A62" s="65" t="s">
        <v>347</v>
      </c>
      <c r="B62" s="18"/>
      <c r="C62" s="77">
        <f>'Balance Sheet - FY'!F62</f>
        <v>0</v>
      </c>
      <c r="D62" s="72">
        <v>0</v>
      </c>
      <c r="E62" s="72">
        <v>0</v>
      </c>
      <c r="F62" s="72">
        <v>0</v>
      </c>
      <c r="G62" s="78">
        <f>'Balance Sheet - FY'!G62</f>
        <v>0</v>
      </c>
      <c r="H62" s="72">
        <v>0</v>
      </c>
      <c r="I62" s="72">
        <v>0</v>
      </c>
      <c r="J62" s="89">
        <v>0</v>
      </c>
      <c r="K62" s="78">
        <f>'Balance Sheet - FY'!H62</f>
        <v>0</v>
      </c>
      <c r="L62" s="72">
        <v>0</v>
      </c>
      <c r="M62" s="72">
        <v>0</v>
      </c>
      <c r="N62" s="72">
        <v>0</v>
      </c>
      <c r="O62" s="78">
        <f>'Balance Sheet - FY'!I62</f>
        <v>57.829000000000001</v>
      </c>
      <c r="P62" s="72">
        <v>0</v>
      </c>
      <c r="Q62" s="72">
        <v>0</v>
      </c>
      <c r="R62" s="72">
        <v>0</v>
      </c>
      <c r="S62" s="78">
        <f>'Balance Sheet - FY'!J62</f>
        <v>80.421999999999997</v>
      </c>
      <c r="V62" s="25"/>
      <c r="W62" s="25"/>
      <c r="X62" s="25"/>
      <c r="Y62" s="25"/>
      <c r="Z62" s="25"/>
      <c r="AA62" s="25"/>
      <c r="AB62" s="25"/>
      <c r="AC62" s="25"/>
    </row>
    <row r="63" spans="1:29" s="25" customFormat="1" ht="13" x14ac:dyDescent="0.3">
      <c r="A63" s="95" t="s">
        <v>68</v>
      </c>
      <c r="B63" s="91"/>
      <c r="C63" s="92">
        <f>IFERROR(C47+C48+C50+C51+C52+C53+C54+C57+C58+C61+C62,"n.a.")</f>
        <v>10685.921000000002</v>
      </c>
      <c r="D63" s="92">
        <f t="shared" ref="D63:S63" si="96">IFERROR(D47+D48+D50+D51+D52+D53+D54+D57+D58+D61+D62,"n.a.")</f>
        <v>9562.2920000000013</v>
      </c>
      <c r="E63" s="92">
        <f t="shared" si="96"/>
        <v>9527.5419999999976</v>
      </c>
      <c r="F63" s="92">
        <f t="shared" si="96"/>
        <v>9585.0829999999987</v>
      </c>
      <c r="G63" s="92">
        <f t="shared" si="96"/>
        <v>9464.766999999998</v>
      </c>
      <c r="H63" s="92">
        <f t="shared" si="96"/>
        <v>9297.2240000000002</v>
      </c>
      <c r="I63" s="92">
        <f t="shared" si="96"/>
        <v>9190.1080000000002</v>
      </c>
      <c r="J63" s="92">
        <f t="shared" si="96"/>
        <v>9168.8948969658886</v>
      </c>
      <c r="K63" s="92">
        <f t="shared" si="96"/>
        <v>9353.8790000000008</v>
      </c>
      <c r="L63" s="92">
        <f t="shared" si="96"/>
        <v>9867.7109999999993</v>
      </c>
      <c r="M63" s="92">
        <f t="shared" si="96"/>
        <v>9979.0910000000003</v>
      </c>
      <c r="N63" s="92">
        <f t="shared" si="96"/>
        <v>9952.4530000000013</v>
      </c>
      <c r="O63" s="92">
        <f t="shared" si="96"/>
        <v>10012.866</v>
      </c>
      <c r="P63" s="92">
        <f t="shared" si="96"/>
        <v>9804.1029999999992</v>
      </c>
      <c r="Q63" s="92">
        <f t="shared" si="96"/>
        <v>9670.2769999999982</v>
      </c>
      <c r="R63" s="92">
        <f t="shared" si="96"/>
        <v>9430.4620000000032</v>
      </c>
      <c r="S63" s="92">
        <f t="shared" si="96"/>
        <v>9453.8169999999991</v>
      </c>
      <c r="T63" s="2"/>
      <c r="U63" s="2"/>
    </row>
    <row r="64" spans="1:29" ht="13" outlineLevel="1" x14ac:dyDescent="0.3">
      <c r="A64" s="65" t="s">
        <v>51</v>
      </c>
      <c r="B64" s="18"/>
      <c r="C64" s="77">
        <f>'Balance Sheet - FY'!F64</f>
        <v>1055.6389999999999</v>
      </c>
      <c r="D64" s="72">
        <v>925.51599999999996</v>
      </c>
      <c r="E64" s="72">
        <v>937.12900000000002</v>
      </c>
      <c r="F64" s="72">
        <v>969.26800000000003</v>
      </c>
      <c r="G64" s="78">
        <f>'Balance Sheet - FY'!G64</f>
        <v>940.66800000000001</v>
      </c>
      <c r="H64" s="72">
        <v>940.22</v>
      </c>
      <c r="I64" s="72">
        <v>983.25099999999998</v>
      </c>
      <c r="J64" s="89">
        <v>1048.921</v>
      </c>
      <c r="K64" s="78">
        <f>'Balance Sheet - FY'!H64</f>
        <v>1128.4659999999999</v>
      </c>
      <c r="L64" s="72">
        <v>1165.5119999999999</v>
      </c>
      <c r="M64" s="72">
        <v>1165.116</v>
      </c>
      <c r="N64" s="72">
        <v>1103.5440000000001</v>
      </c>
      <c r="O64" s="78">
        <f>'Balance Sheet - FY'!I64</f>
        <v>1093.7539999999999</v>
      </c>
      <c r="P64" s="72">
        <v>1137.383</v>
      </c>
      <c r="Q64" s="72">
        <v>961.50699999999995</v>
      </c>
      <c r="R64" s="72">
        <v>824.68499999999995</v>
      </c>
      <c r="S64" s="78">
        <f>'Balance Sheet - FY'!J64</f>
        <v>836.43700000000001</v>
      </c>
      <c r="V64" s="25"/>
      <c r="W64" s="25"/>
      <c r="X64" s="25"/>
      <c r="Y64" s="25"/>
      <c r="Z64" s="25"/>
      <c r="AA64" s="25"/>
      <c r="AB64" s="25"/>
      <c r="AC64" s="25"/>
    </row>
    <row r="65" spans="1:29" ht="13" outlineLevel="1" x14ac:dyDescent="0.3">
      <c r="A65" s="65" t="s">
        <v>52</v>
      </c>
      <c r="B65" s="18"/>
      <c r="C65" s="77">
        <f>'Balance Sheet - FY'!F65</f>
        <v>679.32100000000003</v>
      </c>
      <c r="D65" s="72">
        <v>1044.807</v>
      </c>
      <c r="E65" s="72">
        <v>968.36400000000003</v>
      </c>
      <c r="F65" s="72">
        <v>1037.415</v>
      </c>
      <c r="G65" s="78">
        <f>'Balance Sheet - FY'!G65</f>
        <v>652.48699999999997</v>
      </c>
      <c r="H65" s="72">
        <v>875.88499999999999</v>
      </c>
      <c r="I65" s="72">
        <v>864.43499999999995</v>
      </c>
      <c r="J65" s="89">
        <v>967.745</v>
      </c>
      <c r="K65" s="78">
        <f>'Balance Sheet - FY'!H65</f>
        <v>627.96799999999996</v>
      </c>
      <c r="L65" s="72">
        <v>858.44200000000001</v>
      </c>
      <c r="M65" s="72">
        <v>862.12</v>
      </c>
      <c r="N65" s="72">
        <v>976.17700000000002</v>
      </c>
      <c r="O65" s="78">
        <f>'Balance Sheet - FY'!I65</f>
        <v>649.39400000000001</v>
      </c>
      <c r="P65" s="72">
        <v>658.67100000000005</v>
      </c>
      <c r="Q65" s="72">
        <v>627.89200000000005</v>
      </c>
      <c r="R65" s="72">
        <v>949.07</v>
      </c>
      <c r="S65" s="78">
        <f>'Balance Sheet - FY'!J65</f>
        <v>597.66899999999998</v>
      </c>
      <c r="V65" s="25"/>
      <c r="W65" s="25"/>
      <c r="X65" s="25"/>
      <c r="Y65" s="25"/>
      <c r="Z65" s="25"/>
      <c r="AA65" s="25"/>
      <c r="AB65" s="25"/>
      <c r="AC65" s="25"/>
    </row>
    <row r="66" spans="1:29" ht="13" hidden="1" outlineLevel="2" x14ac:dyDescent="0.3">
      <c r="A66" s="93" t="s">
        <v>133</v>
      </c>
      <c r="B66" s="18"/>
      <c r="C66" s="77">
        <f>'Balance Sheet - FY'!F66</f>
        <v>29.951000000000001</v>
      </c>
      <c r="D66" s="89">
        <v>17.489999999999998</v>
      </c>
      <c r="E66" s="89">
        <v>9.673</v>
      </c>
      <c r="F66" s="72">
        <v>18.959</v>
      </c>
      <c r="G66" s="78">
        <f>'Balance Sheet - FY'!G66</f>
        <v>36.511000000000003</v>
      </c>
      <c r="H66" s="89">
        <v>29.439</v>
      </c>
      <c r="I66" s="89">
        <v>28.167000000000002</v>
      </c>
      <c r="J66" s="89">
        <v>28.044</v>
      </c>
      <c r="K66" s="78">
        <f>'Balance Sheet - FY'!H66</f>
        <v>27.32</v>
      </c>
      <c r="L66" s="89">
        <v>21.93</v>
      </c>
      <c r="M66" s="89">
        <v>35.613999999999997</v>
      </c>
      <c r="N66" s="89">
        <v>40.499000000000002</v>
      </c>
      <c r="O66" s="78">
        <f>'Balance Sheet - FY'!I66</f>
        <v>35.503</v>
      </c>
      <c r="P66" s="89">
        <v>42.985999999999997</v>
      </c>
      <c r="Q66" s="89">
        <v>44.8</v>
      </c>
      <c r="R66" s="89">
        <v>68.192999999999998</v>
      </c>
      <c r="S66" s="78">
        <f>'Balance Sheet - FY'!J66</f>
        <v>102.574</v>
      </c>
      <c r="V66" s="25"/>
      <c r="W66" s="25"/>
      <c r="X66" s="25"/>
      <c r="Y66" s="25"/>
      <c r="Z66" s="25"/>
      <c r="AA66" s="25"/>
      <c r="AB66" s="25"/>
      <c r="AC66" s="25"/>
    </row>
    <row r="67" spans="1:29" ht="13" hidden="1" outlineLevel="2" x14ac:dyDescent="0.3">
      <c r="A67" s="93" t="s">
        <v>134</v>
      </c>
      <c r="B67" s="18"/>
      <c r="C67" s="77">
        <f>'Balance Sheet - FY'!F67</f>
        <v>245.67100000000002</v>
      </c>
      <c r="D67" s="89">
        <v>451.19900000000001</v>
      </c>
      <c r="E67" s="89">
        <v>342.74900000000002</v>
      </c>
      <c r="F67" s="72">
        <v>344.8</v>
      </c>
      <c r="G67" s="78">
        <f>'Balance Sheet - FY'!G67</f>
        <v>364.02799999999996</v>
      </c>
      <c r="H67" s="89">
        <v>427.75899999999996</v>
      </c>
      <c r="I67" s="89">
        <v>388.89700000000005</v>
      </c>
      <c r="J67" s="89">
        <v>396.31900000000002</v>
      </c>
      <c r="K67" s="78">
        <f>'Balance Sheet - FY'!H67</f>
        <v>389.33100000000002</v>
      </c>
      <c r="L67" s="89">
        <v>460.41500000000002</v>
      </c>
      <c r="M67" s="89">
        <v>473.37800000000004</v>
      </c>
      <c r="N67" s="89">
        <v>475.14600000000002</v>
      </c>
      <c r="O67" s="78">
        <f>'Balance Sheet - FY'!I67</f>
        <v>416.35500000000002</v>
      </c>
      <c r="P67" s="89">
        <v>459.94</v>
      </c>
      <c r="Q67" s="89">
        <v>435.22800000000001</v>
      </c>
      <c r="R67" s="89">
        <v>387.51400000000001</v>
      </c>
      <c r="S67" s="78">
        <f>'Balance Sheet - FY'!J67</f>
        <v>366.62</v>
      </c>
      <c r="V67" s="25"/>
      <c r="W67" s="25"/>
      <c r="X67" s="25"/>
      <c r="Y67" s="25"/>
      <c r="Z67" s="25"/>
      <c r="AA67" s="25"/>
      <c r="AB67" s="25"/>
      <c r="AC67" s="25"/>
    </row>
    <row r="68" spans="1:29" ht="13" outlineLevel="1" collapsed="1" x14ac:dyDescent="0.3">
      <c r="A68" s="65" t="s">
        <v>66</v>
      </c>
      <c r="B68" s="18"/>
      <c r="C68" s="84">
        <f t="shared" ref="C68:J68" si="97">IFERROR(C66+C67,"n.a.")</f>
        <v>275.62200000000001</v>
      </c>
      <c r="D68" s="84">
        <f t="shared" si="97"/>
        <v>468.68900000000002</v>
      </c>
      <c r="E68" s="84">
        <f t="shared" si="97"/>
        <v>352.42200000000003</v>
      </c>
      <c r="F68" s="84">
        <f t="shared" si="97"/>
        <v>363.75900000000001</v>
      </c>
      <c r="G68" s="84">
        <f t="shared" si="97"/>
        <v>400.53899999999999</v>
      </c>
      <c r="H68" s="84">
        <f t="shared" si="97"/>
        <v>457.19799999999998</v>
      </c>
      <c r="I68" s="84">
        <f t="shared" si="97"/>
        <v>417.06400000000008</v>
      </c>
      <c r="J68" s="84">
        <f t="shared" si="97"/>
        <v>424.363</v>
      </c>
      <c r="K68" s="84">
        <f>IFERROR(K66+K67,"n.a.")</f>
        <v>416.65100000000001</v>
      </c>
      <c r="L68" s="84">
        <f t="shared" ref="L68:M68" si="98">IFERROR(L66+L67,"n.a.")</f>
        <v>482.34500000000003</v>
      </c>
      <c r="M68" s="84">
        <f t="shared" si="98"/>
        <v>508.99200000000002</v>
      </c>
      <c r="N68" s="84">
        <f t="shared" ref="N68" si="99">IFERROR(N66+N67,"n.a.")</f>
        <v>515.64499999999998</v>
      </c>
      <c r="O68" s="84">
        <f>IFERROR(O66+O67,"n.a.")</f>
        <v>451.858</v>
      </c>
      <c r="P68" s="84">
        <f t="shared" ref="P68:Q68" si="100">IFERROR(P66+P67,"n.a.")</f>
        <v>502.92599999999999</v>
      </c>
      <c r="Q68" s="84">
        <f t="shared" si="100"/>
        <v>480.02800000000002</v>
      </c>
      <c r="R68" s="84">
        <f t="shared" ref="R68" si="101">IFERROR(R66+R67,"n.a.")</f>
        <v>455.70699999999999</v>
      </c>
      <c r="S68" s="84">
        <f>IFERROR(S66+S67,"n.a.")</f>
        <v>469.19400000000002</v>
      </c>
      <c r="V68" s="25"/>
      <c r="W68" s="25"/>
      <c r="X68" s="25"/>
      <c r="Y68" s="25"/>
      <c r="Z68" s="25"/>
      <c r="AA68" s="25"/>
      <c r="AB68" s="25"/>
      <c r="AC68" s="25"/>
    </row>
    <row r="69" spans="1:29" ht="13" outlineLevel="1" x14ac:dyDescent="0.3">
      <c r="A69" s="65" t="s">
        <v>242</v>
      </c>
      <c r="B69" s="18"/>
      <c r="C69" s="77">
        <f>'Balance Sheet - FY'!F69</f>
        <v>0</v>
      </c>
      <c r="D69" s="46">
        <v>0</v>
      </c>
      <c r="E69" s="46">
        <v>0</v>
      </c>
      <c r="F69" s="46">
        <v>0</v>
      </c>
      <c r="G69" s="78">
        <f>'Balance Sheet - FY'!G69</f>
        <v>0</v>
      </c>
      <c r="H69" s="46">
        <v>9.0850000000000009</v>
      </c>
      <c r="I69" s="46">
        <v>9.298</v>
      </c>
      <c r="J69" s="71">
        <v>20.306000000000001</v>
      </c>
      <c r="K69" s="78">
        <f>'Balance Sheet - FY'!H69</f>
        <v>27.196000000000002</v>
      </c>
      <c r="L69" s="46">
        <v>8.5009999999999994</v>
      </c>
      <c r="M69" s="46">
        <v>12.792</v>
      </c>
      <c r="N69" s="46">
        <v>14.725</v>
      </c>
      <c r="O69" s="78">
        <f>'Balance Sheet - FY'!I69</f>
        <v>38.119</v>
      </c>
      <c r="P69" s="72">
        <v>12.002000000000001</v>
      </c>
      <c r="Q69" s="72">
        <v>18.878</v>
      </c>
      <c r="R69" s="72">
        <v>34.21</v>
      </c>
      <c r="S69" s="78">
        <f>'Balance Sheet - FY'!J69</f>
        <v>58.944000000000003</v>
      </c>
      <c r="V69" s="25"/>
      <c r="W69" s="25"/>
      <c r="X69" s="25"/>
      <c r="Y69" s="25"/>
      <c r="Z69" s="25"/>
      <c r="AA69" s="25"/>
      <c r="AB69" s="25"/>
      <c r="AC69" s="25"/>
    </row>
    <row r="70" spans="1:29" ht="13" outlineLevel="1" x14ac:dyDescent="0.3">
      <c r="A70" s="65" t="s">
        <v>69</v>
      </c>
      <c r="B70" s="18"/>
      <c r="C70" s="77">
        <f>'Balance Sheet - FY'!F70</f>
        <v>48.597000000000001</v>
      </c>
      <c r="D70" s="72">
        <v>24.864000000000001</v>
      </c>
      <c r="E70" s="72">
        <v>20.686</v>
      </c>
      <c r="F70" s="72">
        <v>12.945</v>
      </c>
      <c r="G70" s="78">
        <f>'Balance Sheet - FY'!G70</f>
        <v>33.027000000000001</v>
      </c>
      <c r="H70" s="72">
        <v>0</v>
      </c>
      <c r="I70" s="72">
        <v>0</v>
      </c>
      <c r="J70" s="89">
        <v>0</v>
      </c>
      <c r="K70" s="78">
        <f>'Balance Sheet - FY'!H70</f>
        <v>0</v>
      </c>
      <c r="L70" s="72">
        <v>0</v>
      </c>
      <c r="M70" s="72">
        <v>0</v>
      </c>
      <c r="N70" s="72">
        <v>0</v>
      </c>
      <c r="O70" s="78">
        <f>'Balance Sheet - FY'!I70</f>
        <v>0</v>
      </c>
      <c r="P70" s="72">
        <v>0</v>
      </c>
      <c r="Q70" s="72">
        <v>0</v>
      </c>
      <c r="R70" s="72">
        <v>0</v>
      </c>
      <c r="S70" s="78">
        <f>'Balance Sheet - FY'!J70</f>
        <v>0</v>
      </c>
      <c r="V70" s="25"/>
      <c r="W70" s="25"/>
      <c r="Y70" s="25"/>
      <c r="Z70" s="25"/>
      <c r="AA70" s="25"/>
      <c r="AB70" s="25"/>
      <c r="AC70" s="25"/>
    </row>
    <row r="71" spans="1:29" ht="13" outlineLevel="1" x14ac:dyDescent="0.3">
      <c r="A71" s="65" t="s">
        <v>70</v>
      </c>
      <c r="B71" s="18"/>
      <c r="C71" s="77">
        <f>'Balance Sheet - FY'!F71</f>
        <v>1532.9770000000001</v>
      </c>
      <c r="D71" s="72">
        <v>457.99200000000002</v>
      </c>
      <c r="E71" s="72">
        <v>510.47199999999998</v>
      </c>
      <c r="F71" s="72">
        <v>392.35599999999999</v>
      </c>
      <c r="G71" s="78">
        <f>'Balance Sheet - FY'!G71</f>
        <v>1118.4369999999999</v>
      </c>
      <c r="H71" s="72">
        <v>592.13499999999999</v>
      </c>
      <c r="I71" s="72">
        <v>580.64099999999996</v>
      </c>
      <c r="J71" s="89">
        <v>549.34500000000003</v>
      </c>
      <c r="K71" s="78">
        <f>'Balance Sheet - FY'!H71</f>
        <v>1326.9</v>
      </c>
      <c r="L71" s="72">
        <v>962.95699999999999</v>
      </c>
      <c r="M71" s="72">
        <v>741.76700000000005</v>
      </c>
      <c r="N71" s="72">
        <v>781.23099999999999</v>
      </c>
      <c r="O71" s="78">
        <f>'Balance Sheet - FY'!I71</f>
        <v>1609.8209999999999</v>
      </c>
      <c r="P71" s="72">
        <v>797.80899999999997</v>
      </c>
      <c r="Q71" s="72">
        <v>1455.229</v>
      </c>
      <c r="R71" s="72">
        <v>1115.557</v>
      </c>
      <c r="S71" s="78">
        <f>'Balance Sheet - FY'!J71</f>
        <v>2275.4760000000001</v>
      </c>
      <c r="V71" s="25"/>
      <c r="W71" s="25"/>
      <c r="X71" s="25"/>
      <c r="Y71" s="25"/>
      <c r="Z71" s="25"/>
      <c r="AA71" s="25"/>
      <c r="AB71" s="25"/>
      <c r="AC71" s="25"/>
    </row>
    <row r="72" spans="1:29" ht="13" outlineLevel="1" x14ac:dyDescent="0.3">
      <c r="A72" s="65" t="s">
        <v>67</v>
      </c>
      <c r="B72" s="18"/>
      <c r="C72" s="77">
        <f>'Balance Sheet - FY'!F72</f>
        <v>64.394999999999996</v>
      </c>
      <c r="D72" s="72">
        <v>84.311000000000007</v>
      </c>
      <c r="E72" s="72">
        <v>66.856999999999999</v>
      </c>
      <c r="F72" s="72">
        <v>58.698999999999998</v>
      </c>
      <c r="G72" s="78">
        <f>'Balance Sheet - FY'!G72</f>
        <v>35.460999999999999</v>
      </c>
      <c r="H72" s="72">
        <v>27.72</v>
      </c>
      <c r="I72" s="72">
        <v>49.091000000000001</v>
      </c>
      <c r="J72" s="89">
        <v>58.158999999999999</v>
      </c>
      <c r="K72" s="78">
        <f>'Balance Sheet - FY'!H72</f>
        <v>41.393000000000001</v>
      </c>
      <c r="L72" s="72">
        <v>42.247999999999998</v>
      </c>
      <c r="M72" s="72">
        <v>46.389000000000003</v>
      </c>
      <c r="N72" s="72">
        <v>69.304000000000002</v>
      </c>
      <c r="O72" s="78">
        <f>'Balance Sheet - FY'!I72</f>
        <v>41.494</v>
      </c>
      <c r="P72" s="72">
        <v>37.249000000000002</v>
      </c>
      <c r="Q72" s="89">
        <v>50.984000000000002</v>
      </c>
      <c r="R72" s="89">
        <v>48.47</v>
      </c>
      <c r="S72" s="78">
        <f>'Balance Sheet - FY'!J72</f>
        <v>29.152999999999999</v>
      </c>
      <c r="V72" s="25"/>
      <c r="W72" s="25"/>
      <c r="X72" s="25"/>
      <c r="Y72" s="25"/>
      <c r="Z72" s="25"/>
      <c r="AA72" s="25"/>
      <c r="AB72" s="25"/>
      <c r="AC72" s="25"/>
    </row>
    <row r="73" spans="1:29" ht="13" hidden="1" outlineLevel="2" x14ac:dyDescent="0.3">
      <c r="A73" s="93" t="s">
        <v>131</v>
      </c>
      <c r="B73" s="18"/>
      <c r="C73" s="77">
        <f>'Balance Sheet - FY'!F73</f>
        <v>3.718</v>
      </c>
      <c r="D73" s="89">
        <v>21.526</v>
      </c>
      <c r="E73" s="89">
        <v>27.617000000000001</v>
      </c>
      <c r="F73" s="72">
        <v>19.175000000000001</v>
      </c>
      <c r="G73" s="78">
        <f>'Balance Sheet - FY'!G73</f>
        <v>21.413</v>
      </c>
      <c r="H73" s="89">
        <v>17.084</v>
      </c>
      <c r="I73" s="89">
        <v>63.634</v>
      </c>
      <c r="J73" s="89">
        <v>74.382999999999996</v>
      </c>
      <c r="K73" s="78">
        <f>'Balance Sheet - FY'!H73</f>
        <v>91.245000000000005</v>
      </c>
      <c r="L73" s="89">
        <v>79.519000000000005</v>
      </c>
      <c r="M73" s="89">
        <v>54.466999999999999</v>
      </c>
      <c r="N73" s="89">
        <v>68.061000000000007</v>
      </c>
      <c r="O73" s="78">
        <f>'Balance Sheet - FY'!I73</f>
        <v>32.090000000000003</v>
      </c>
      <c r="P73" s="89">
        <v>123.60299999999999</v>
      </c>
      <c r="Q73" s="89">
        <v>47.040999999999997</v>
      </c>
      <c r="R73" s="89">
        <v>65.477999999999994</v>
      </c>
      <c r="S73" s="78">
        <f>'Balance Sheet - FY'!J73</f>
        <v>34.765999999999998</v>
      </c>
      <c r="V73" s="25"/>
      <c r="W73" s="25"/>
      <c r="X73" s="25"/>
      <c r="Y73" s="25"/>
      <c r="Z73" s="25"/>
      <c r="AA73" s="25"/>
      <c r="AB73" s="25"/>
      <c r="AC73" s="25"/>
    </row>
    <row r="74" spans="1:29" ht="13" hidden="1" outlineLevel="2" x14ac:dyDescent="0.3">
      <c r="A74" s="93" t="s">
        <v>132</v>
      </c>
      <c r="B74" s="18"/>
      <c r="C74" s="77">
        <f>'Balance Sheet - FY'!F74</f>
        <v>20.271000000000001</v>
      </c>
      <c r="D74" s="89">
        <v>14.489999999999998</v>
      </c>
      <c r="E74" s="89">
        <v>17.59</v>
      </c>
      <c r="F74" s="72">
        <v>11.524000000000001</v>
      </c>
      <c r="G74" s="78">
        <f>'Balance Sheet - FY'!G74</f>
        <v>6.3569999999999993</v>
      </c>
      <c r="H74" s="89">
        <v>6.1960000000000015</v>
      </c>
      <c r="I74" s="89">
        <v>12.569999999999993</v>
      </c>
      <c r="J74" s="89">
        <v>7.21</v>
      </c>
      <c r="K74" s="78">
        <f>'Balance Sheet - FY'!H74</f>
        <v>7.3220000000000001</v>
      </c>
      <c r="L74" s="89">
        <v>4.9519999999999982</v>
      </c>
      <c r="M74" s="89">
        <v>4.6180000000000021</v>
      </c>
      <c r="N74" s="89">
        <v>4.7729999999999997</v>
      </c>
      <c r="O74" s="78">
        <f>'Balance Sheet - FY'!I74</f>
        <v>5.0579999999999998</v>
      </c>
      <c r="P74" s="89">
        <v>18.603999999999999</v>
      </c>
      <c r="Q74" s="89">
        <v>4.6560000000000059</v>
      </c>
      <c r="R74" s="89">
        <v>5.3640000000000043</v>
      </c>
      <c r="S74" s="78">
        <f>'Balance Sheet - FY'!J74</f>
        <v>4.5609999999999999</v>
      </c>
      <c r="V74" s="25"/>
      <c r="W74" s="25"/>
      <c r="X74" s="25"/>
      <c r="Y74" s="25"/>
      <c r="Z74" s="25"/>
      <c r="AA74" s="25"/>
      <c r="AB74" s="25"/>
      <c r="AC74" s="25"/>
    </row>
    <row r="75" spans="1:29" ht="13" outlineLevel="1" collapsed="1" x14ac:dyDescent="0.3">
      <c r="A75" s="65" t="s">
        <v>71</v>
      </c>
      <c r="B75" s="18"/>
      <c r="C75" s="84">
        <f t="shared" ref="C75:J75" si="102">IFERROR(C73+C74,"n.a.")</f>
        <v>23.989000000000001</v>
      </c>
      <c r="D75" s="84">
        <f t="shared" si="102"/>
        <v>36.015999999999998</v>
      </c>
      <c r="E75" s="84">
        <f t="shared" si="102"/>
        <v>45.207000000000001</v>
      </c>
      <c r="F75" s="84">
        <f t="shared" si="102"/>
        <v>30.699000000000002</v>
      </c>
      <c r="G75" s="84">
        <f t="shared" si="102"/>
        <v>27.77</v>
      </c>
      <c r="H75" s="84">
        <f t="shared" si="102"/>
        <v>23.28</v>
      </c>
      <c r="I75" s="84">
        <f t="shared" si="102"/>
        <v>76.203999999999994</v>
      </c>
      <c r="J75" s="84">
        <f t="shared" si="102"/>
        <v>81.592999999999989</v>
      </c>
      <c r="K75" s="84">
        <f>IFERROR(K73+K74,"n.a.")</f>
        <v>98.567000000000007</v>
      </c>
      <c r="L75" s="84">
        <f t="shared" ref="L75:M75" si="103">IFERROR(L73+L74,"n.a.")</f>
        <v>84.471000000000004</v>
      </c>
      <c r="M75" s="84">
        <f t="shared" si="103"/>
        <v>59.085000000000001</v>
      </c>
      <c r="N75" s="84">
        <f t="shared" ref="N75" si="104">IFERROR(N73+N74,"n.a.")</f>
        <v>72.834000000000003</v>
      </c>
      <c r="O75" s="84">
        <f>IFERROR(O73+O74,"n.a.")</f>
        <v>37.148000000000003</v>
      </c>
      <c r="P75" s="84">
        <f t="shared" ref="P75:Q75" si="105">IFERROR(P73+P74,"n.a.")</f>
        <v>142.20699999999999</v>
      </c>
      <c r="Q75" s="84">
        <f t="shared" si="105"/>
        <v>51.697000000000003</v>
      </c>
      <c r="R75" s="84">
        <f t="shared" ref="R75" si="106">IFERROR(R73+R74,"n.a.")</f>
        <v>70.841999999999999</v>
      </c>
      <c r="S75" s="84">
        <f>IFERROR(S73+S74,"n.a.")</f>
        <v>39.326999999999998</v>
      </c>
      <c r="V75" s="25"/>
      <c r="W75" s="25"/>
      <c r="X75" s="25"/>
      <c r="Y75" s="25"/>
      <c r="Z75" s="25"/>
      <c r="AA75" s="25"/>
      <c r="AB75" s="25"/>
      <c r="AC75" s="25"/>
    </row>
    <row r="76" spans="1:29" s="25" customFormat="1" ht="13" x14ac:dyDescent="0.3">
      <c r="A76" s="95" t="s">
        <v>72</v>
      </c>
      <c r="B76" s="91"/>
      <c r="C76" s="92">
        <f t="shared" ref="C76:P76" si="107">IFERROR(C64+C65+C68+C69+C70+C71+C72+C75,"n.a.")</f>
        <v>3680.54</v>
      </c>
      <c r="D76" s="92">
        <f t="shared" si="107"/>
        <v>3042.1950000000002</v>
      </c>
      <c r="E76" s="92">
        <f t="shared" si="107"/>
        <v>2901.1370000000002</v>
      </c>
      <c r="F76" s="92">
        <f t="shared" si="107"/>
        <v>2865.1410000000005</v>
      </c>
      <c r="G76" s="92">
        <f t="shared" si="107"/>
        <v>3208.3889999999997</v>
      </c>
      <c r="H76" s="92">
        <f t="shared" si="107"/>
        <v>2925.5230000000001</v>
      </c>
      <c r="I76" s="92">
        <f t="shared" si="107"/>
        <v>2979.9839999999999</v>
      </c>
      <c r="J76" s="92">
        <f t="shared" si="107"/>
        <v>3150.4320000000002</v>
      </c>
      <c r="K76" s="92">
        <f t="shared" si="107"/>
        <v>3667.1409999999996</v>
      </c>
      <c r="L76" s="92">
        <f t="shared" si="107"/>
        <v>3604.4760000000001</v>
      </c>
      <c r="M76" s="92">
        <f t="shared" si="107"/>
        <v>3396.2610000000004</v>
      </c>
      <c r="N76" s="92">
        <f t="shared" si="107"/>
        <v>3533.46</v>
      </c>
      <c r="O76" s="92">
        <f t="shared" si="107"/>
        <v>3921.5880000000002</v>
      </c>
      <c r="P76" s="92">
        <f t="shared" si="107"/>
        <v>3288.2469999999998</v>
      </c>
      <c r="Q76" s="92">
        <f>IFERROR(Q64+Q65+Q68+Q69+Q70+Q71+Q72+Q75,"n.a.")</f>
        <v>3646.2149999999997</v>
      </c>
      <c r="R76" s="92">
        <f>IFERROR(R64+R65+R68+R69+R70+R71+R72+R75,"n.a.")</f>
        <v>3498.5410000000002</v>
      </c>
      <c r="S76" s="92">
        <f t="shared" ref="S76" si="108">IFERROR(S64+S65+S68+S69+S70+S71+S72+S75,"n.a.")</f>
        <v>4306.2000000000007</v>
      </c>
      <c r="T76" s="2"/>
      <c r="U76" s="2"/>
    </row>
    <row r="77" spans="1:29" ht="13" outlineLevel="1" x14ac:dyDescent="0.3">
      <c r="A77" s="32" t="s">
        <v>2</v>
      </c>
      <c r="B77" s="18"/>
      <c r="C77" s="77">
        <f>'Balance Sheet - FY'!F77</f>
        <v>0</v>
      </c>
      <c r="D77" s="72">
        <v>118.33</v>
      </c>
      <c r="E77" s="89">
        <v>0</v>
      </c>
      <c r="F77" s="72">
        <v>91.352999999999994</v>
      </c>
      <c r="G77" s="78">
        <f>'Balance Sheet - FY'!G77</f>
        <v>60.728999999999999</v>
      </c>
      <c r="H77" s="72">
        <v>51.256999999999998</v>
      </c>
      <c r="I77" s="89">
        <v>38.610999999999997</v>
      </c>
      <c r="J77" s="89">
        <v>11.433999999999999</v>
      </c>
      <c r="K77" s="78">
        <f>'Balance Sheet - FY'!H77</f>
        <v>10.677</v>
      </c>
      <c r="L77" s="72">
        <v>0.79600000000000004</v>
      </c>
      <c r="M77" s="72">
        <v>0.8</v>
      </c>
      <c r="N77" s="72">
        <v>0.8</v>
      </c>
      <c r="O77" s="78">
        <f>'Balance Sheet - FY'!I77</f>
        <v>0</v>
      </c>
      <c r="P77" s="72">
        <v>0</v>
      </c>
      <c r="Q77" s="72">
        <v>0</v>
      </c>
      <c r="R77" s="72">
        <v>0</v>
      </c>
      <c r="S77" s="78">
        <f>'Balance Sheet - FY'!J77</f>
        <v>0</v>
      </c>
      <c r="V77" s="25"/>
      <c r="W77" s="25"/>
      <c r="X77" s="25"/>
      <c r="Y77" s="25"/>
      <c r="Z77" s="25"/>
      <c r="AA77" s="25"/>
      <c r="AB77" s="25"/>
      <c r="AC77" s="25"/>
    </row>
    <row r="78" spans="1:29" s="25" customFormat="1" ht="13" x14ac:dyDescent="0.3">
      <c r="A78" s="103" t="s">
        <v>3</v>
      </c>
      <c r="B78" s="103"/>
      <c r="C78" s="104">
        <f t="shared" ref="C78:Q78" si="109">IFERROR(C63+C76+C77,"n.a.")</f>
        <v>14366.461000000003</v>
      </c>
      <c r="D78" s="104">
        <f t="shared" si="109"/>
        <v>12722.817000000001</v>
      </c>
      <c r="E78" s="104">
        <f t="shared" si="109"/>
        <v>12428.678999999998</v>
      </c>
      <c r="F78" s="104">
        <f t="shared" si="109"/>
        <v>12541.576999999997</v>
      </c>
      <c r="G78" s="104">
        <f t="shared" si="109"/>
        <v>12733.884999999997</v>
      </c>
      <c r="H78" s="104">
        <f t="shared" si="109"/>
        <v>12274.003999999999</v>
      </c>
      <c r="I78" s="104">
        <f t="shared" si="109"/>
        <v>12208.703000000001</v>
      </c>
      <c r="J78" s="104">
        <f t="shared" si="109"/>
        <v>12330.760896965889</v>
      </c>
      <c r="K78" s="104">
        <f t="shared" si="109"/>
        <v>13031.697</v>
      </c>
      <c r="L78" s="104">
        <f t="shared" si="109"/>
        <v>13472.983</v>
      </c>
      <c r="M78" s="104">
        <f t="shared" si="109"/>
        <v>13376.152</v>
      </c>
      <c r="N78" s="104">
        <f t="shared" si="109"/>
        <v>13486.713</v>
      </c>
      <c r="O78" s="104">
        <f t="shared" si="109"/>
        <v>13934.454</v>
      </c>
      <c r="P78" s="104">
        <f t="shared" si="109"/>
        <v>13092.349999999999</v>
      </c>
      <c r="Q78" s="104">
        <f t="shared" si="109"/>
        <v>13316.491999999998</v>
      </c>
      <c r="R78" s="104">
        <f t="shared" ref="R78:S78" si="110">IFERROR(R63+R76+R77,"n.a.")</f>
        <v>12929.003000000004</v>
      </c>
      <c r="S78" s="104">
        <f t="shared" si="110"/>
        <v>13760.017</v>
      </c>
      <c r="T78" s="2"/>
      <c r="U78" s="2"/>
    </row>
    <row r="79" spans="1:29" ht="13" x14ac:dyDescent="0.3">
      <c r="V79" s="25"/>
      <c r="W79" s="25"/>
      <c r="X79" s="25"/>
      <c r="Y79" s="25"/>
      <c r="Z79" s="25"/>
      <c r="AA79" s="25"/>
      <c r="AB79" s="25"/>
      <c r="AC79" s="25"/>
    </row>
    <row r="81" spans="1:19" ht="13.5" thickBot="1" x14ac:dyDescent="0.35">
      <c r="A81" s="12" t="s">
        <v>76</v>
      </c>
      <c r="B81" s="12"/>
      <c r="C81" s="14" t="str">
        <f t="shared" ref="C81:Q81" si="111">C4</f>
        <v>FY 2016</v>
      </c>
      <c r="D81" s="14" t="str">
        <f t="shared" si="111"/>
        <v>1Q 2017</v>
      </c>
      <c r="E81" s="14" t="str">
        <f t="shared" si="111"/>
        <v>1H 2017</v>
      </c>
      <c r="F81" s="14" t="str">
        <f t="shared" si="111"/>
        <v>9M 2017</v>
      </c>
      <c r="G81" s="14" t="str">
        <f t="shared" si="111"/>
        <v>FY 2017</v>
      </c>
      <c r="H81" s="14" t="str">
        <f t="shared" si="111"/>
        <v>1Q 2018</v>
      </c>
      <c r="I81" s="14" t="str">
        <f t="shared" si="111"/>
        <v>1H 2018</v>
      </c>
      <c r="J81" s="14" t="str">
        <f t="shared" si="111"/>
        <v>9M 2018</v>
      </c>
      <c r="K81" s="14" t="str">
        <f t="shared" si="111"/>
        <v>FY 2018</v>
      </c>
      <c r="L81" s="14" t="str">
        <f t="shared" si="111"/>
        <v>1Q 2019</v>
      </c>
      <c r="M81" s="14" t="str">
        <f t="shared" si="111"/>
        <v>1H 2019</v>
      </c>
      <c r="N81" s="14" t="str">
        <f t="shared" si="111"/>
        <v>9M 2019</v>
      </c>
      <c r="O81" s="14" t="str">
        <f t="shared" si="111"/>
        <v>FY 2019</v>
      </c>
      <c r="P81" s="14" t="str">
        <f t="shared" si="111"/>
        <v>1Q 2020</v>
      </c>
      <c r="Q81" s="14" t="str">
        <f t="shared" si="111"/>
        <v>1H 2020</v>
      </c>
      <c r="R81" s="14" t="str">
        <f t="shared" ref="R81:S81" si="112">R4</f>
        <v>9M 2020</v>
      </c>
      <c r="S81" s="14" t="str">
        <f t="shared" si="112"/>
        <v>FY 2020</v>
      </c>
    </row>
    <row r="82" spans="1:19" x14ac:dyDescent="0.3">
      <c r="C82" s="41" t="str">
        <f t="shared" ref="C82:Q82" si="113">C5</f>
        <v>restated</v>
      </c>
      <c r="D82" s="41" t="str">
        <f t="shared" si="113"/>
        <v>reported</v>
      </c>
      <c r="E82" s="41" t="str">
        <f t="shared" si="113"/>
        <v>carve-out</v>
      </c>
      <c r="F82" s="41" t="str">
        <f t="shared" si="113"/>
        <v>reported</v>
      </c>
      <c r="G82" s="41" t="str">
        <f t="shared" si="113"/>
        <v>reported</v>
      </c>
      <c r="H82" s="41" t="str">
        <f t="shared" si="113"/>
        <v>reported</v>
      </c>
      <c r="I82" s="41" t="str">
        <f t="shared" si="113"/>
        <v>reported</v>
      </c>
      <c r="J82" s="41" t="str">
        <f t="shared" si="113"/>
        <v>reported</v>
      </c>
      <c r="K82" s="41" t="str">
        <f t="shared" si="113"/>
        <v>reported</v>
      </c>
      <c r="L82" s="41" t="str">
        <f t="shared" si="113"/>
        <v>reported</v>
      </c>
      <c r="M82" s="41" t="str">
        <f t="shared" si="113"/>
        <v>reported</v>
      </c>
      <c r="N82" s="41" t="str">
        <f t="shared" si="113"/>
        <v>reported</v>
      </c>
      <c r="O82" s="41" t="str">
        <f t="shared" si="113"/>
        <v>reported</v>
      </c>
      <c r="P82" s="41" t="str">
        <f t="shared" si="113"/>
        <v>reported</v>
      </c>
      <c r="Q82" s="41" t="str">
        <f t="shared" si="113"/>
        <v>reported</v>
      </c>
      <c r="R82" s="41" t="str">
        <f t="shared" ref="R82:S82" si="114">R5</f>
        <v>reported</v>
      </c>
      <c r="S82" s="41" t="str">
        <f t="shared" si="114"/>
        <v>reported</v>
      </c>
    </row>
    <row r="84" spans="1:19" outlineLevel="1" x14ac:dyDescent="0.3">
      <c r="A84" s="66" t="s">
        <v>77</v>
      </c>
      <c r="B84" s="37"/>
      <c r="C84" s="56">
        <f>'Balance Sheet - FY'!F84</f>
        <v>5945.9989999999998</v>
      </c>
      <c r="D84" s="69">
        <v>4426.6239999999998</v>
      </c>
      <c r="E84" s="69">
        <v>4297.8860000000004</v>
      </c>
      <c r="F84" s="69">
        <v>4218.5889999999999</v>
      </c>
      <c r="G84" s="56">
        <f>'Balance Sheet - FY'!G84</f>
        <v>3897.0889999999999</v>
      </c>
      <c r="H84" s="69">
        <v>3709.0279999999998</v>
      </c>
      <c r="I84" s="69">
        <v>3791.8409999999999</v>
      </c>
      <c r="J84" s="180">
        <v>3953.5639999999999</v>
      </c>
      <c r="K84" s="56">
        <f>'Balance Sheet - FY'!H84</f>
        <v>3929.0790000000002</v>
      </c>
      <c r="L84" s="69">
        <v>4521.4229999999998</v>
      </c>
      <c r="M84" s="69">
        <v>3999.2849999999999</v>
      </c>
      <c r="N84" s="69">
        <v>4093.973</v>
      </c>
      <c r="O84" s="56">
        <f>'Balance Sheet - FY'!I84</f>
        <v>3949.8359999999998</v>
      </c>
      <c r="P84" s="69">
        <v>4372.4889999999996</v>
      </c>
      <c r="Q84" s="69">
        <v>4940.6210000000001</v>
      </c>
      <c r="R84" s="69">
        <v>4593.0209999999997</v>
      </c>
      <c r="S84" s="56">
        <f>'Balance Sheet - FY'!J84</f>
        <v>4970.9859999999999</v>
      </c>
    </row>
    <row r="85" spans="1:19" outlineLevel="1" x14ac:dyDescent="0.3">
      <c r="A85" s="65" t="s">
        <v>78</v>
      </c>
      <c r="B85" s="18"/>
      <c r="C85" s="78">
        <f>'Balance Sheet - FY'!F85</f>
        <v>87.421000000000006</v>
      </c>
      <c r="D85" s="72">
        <v>76.242000000000004</v>
      </c>
      <c r="E85" s="72">
        <v>74.043000000000006</v>
      </c>
      <c r="F85" s="72">
        <v>76.293000000000006</v>
      </c>
      <c r="G85" s="78">
        <f>'Balance Sheet - FY'!G85</f>
        <v>74.435000000000002</v>
      </c>
      <c r="H85" s="72">
        <v>73.823999999999998</v>
      </c>
      <c r="I85" s="72">
        <v>75.402000000000001</v>
      </c>
      <c r="J85" s="89">
        <v>72.835999999999999</v>
      </c>
      <c r="K85" s="78">
        <f>'Balance Sheet - FY'!H85</f>
        <v>83.287000000000006</v>
      </c>
      <c r="L85" s="72">
        <v>82.236999999999995</v>
      </c>
      <c r="M85" s="72">
        <v>81.421999999999997</v>
      </c>
      <c r="N85" s="72">
        <v>86.061999999999998</v>
      </c>
      <c r="O85" s="78">
        <f>'Balance Sheet - FY'!I85</f>
        <v>90.570999999999998</v>
      </c>
      <c r="P85" s="72">
        <v>80.638999999999996</v>
      </c>
      <c r="Q85" s="72">
        <v>82.721000000000004</v>
      </c>
      <c r="R85" s="72">
        <v>76.070999999999998</v>
      </c>
      <c r="S85" s="78">
        <f>'Balance Sheet - FY'!J85</f>
        <v>77.28</v>
      </c>
    </row>
    <row r="86" spans="1:19" outlineLevel="1" x14ac:dyDescent="0.3">
      <c r="A86" s="65" t="s">
        <v>79</v>
      </c>
      <c r="B86" s="18"/>
      <c r="C86" s="78">
        <f>'Balance Sheet - FY'!F86</f>
        <v>170.99199999999999</v>
      </c>
      <c r="D86" s="72">
        <v>139.238</v>
      </c>
      <c r="E86" s="72">
        <v>128.66200000000001</v>
      </c>
      <c r="F86" s="72">
        <v>126.111</v>
      </c>
      <c r="G86" s="78">
        <f>'Balance Sheet - FY'!G86</f>
        <v>127.124</v>
      </c>
      <c r="H86" s="72">
        <v>124.753</v>
      </c>
      <c r="I86" s="72">
        <v>128.91999999999999</v>
      </c>
      <c r="J86" s="89">
        <v>130.37799999999999</v>
      </c>
      <c r="K86" s="78">
        <f>'Balance Sheet - FY'!H86</f>
        <v>138.327</v>
      </c>
      <c r="L86" s="72">
        <v>131.648</v>
      </c>
      <c r="M86" s="72">
        <v>133.98500000000001</v>
      </c>
      <c r="N86" s="72">
        <v>143.01900000000001</v>
      </c>
      <c r="O86" s="78">
        <f>'Balance Sheet - FY'!I86</f>
        <v>120.46899999999999</v>
      </c>
      <c r="P86" s="72">
        <v>112.89700000000001</v>
      </c>
      <c r="Q86" s="72">
        <v>110.27200000000001</v>
      </c>
      <c r="R86" s="72">
        <v>103.197</v>
      </c>
      <c r="S86" s="78">
        <f>'Balance Sheet - FY'!J86</f>
        <v>73.257000000000005</v>
      </c>
    </row>
    <row r="87" spans="1:19" outlineLevel="1" x14ac:dyDescent="0.3">
      <c r="A87" s="65" t="s">
        <v>348</v>
      </c>
      <c r="B87" s="18"/>
      <c r="C87" s="78">
        <f>'Balance Sheet - FY'!F87</f>
        <v>1452.1690000000001</v>
      </c>
      <c r="D87" s="72">
        <v>1311.164</v>
      </c>
      <c r="E87" s="72">
        <v>1308.665</v>
      </c>
      <c r="F87" s="72">
        <v>1298.5740000000001</v>
      </c>
      <c r="G87" s="78">
        <f>'Balance Sheet - FY'!G87</f>
        <v>1216.635</v>
      </c>
      <c r="H87" s="72">
        <v>1207.431</v>
      </c>
      <c r="I87" s="72">
        <v>1210.173</v>
      </c>
      <c r="J87" s="89">
        <v>1132.0060000000001</v>
      </c>
      <c r="K87" s="78">
        <f>'Balance Sheet - FY'!H87</f>
        <v>1081.605</v>
      </c>
      <c r="L87" s="72">
        <v>1087.5940000000001</v>
      </c>
      <c r="M87" s="72">
        <v>1074.309</v>
      </c>
      <c r="N87" s="72">
        <v>1061.01</v>
      </c>
      <c r="O87" s="78">
        <f>'Balance Sheet - FY'!I87</f>
        <v>1058.76</v>
      </c>
      <c r="P87" s="72">
        <v>1053.058</v>
      </c>
      <c r="Q87" s="72">
        <v>1050.9269999999999</v>
      </c>
      <c r="R87" s="72">
        <v>1044.636</v>
      </c>
      <c r="S87" s="78">
        <f>'Balance Sheet - FY'!J87</f>
        <v>1006.799</v>
      </c>
    </row>
    <row r="88" spans="1:19" outlineLevel="1" x14ac:dyDescent="0.3">
      <c r="A88" s="65" t="s">
        <v>349</v>
      </c>
      <c r="B88" s="18"/>
      <c r="C88" s="78">
        <f>'Balance Sheet - FY'!F88</f>
        <v>368.1</v>
      </c>
      <c r="D88" s="72">
        <v>341.16199999999998</v>
      </c>
      <c r="E88" s="72">
        <v>359.65699999999998</v>
      </c>
      <c r="F88" s="72">
        <v>323.779</v>
      </c>
      <c r="G88" s="78">
        <f>'Balance Sheet - FY'!G88</f>
        <v>274.03699999999998</v>
      </c>
      <c r="H88" s="72">
        <v>264.80500000000001</v>
      </c>
      <c r="I88" s="72">
        <v>199.68</v>
      </c>
      <c r="J88" s="89">
        <v>195.16800000000001</v>
      </c>
      <c r="K88" s="78">
        <f>'Balance Sheet - FY'!H88</f>
        <v>224.31200000000001</v>
      </c>
      <c r="L88" s="72">
        <v>218.875</v>
      </c>
      <c r="M88" s="72">
        <v>219.33</v>
      </c>
      <c r="N88" s="72">
        <v>212.31899999999999</v>
      </c>
      <c r="O88" s="78">
        <f>'Balance Sheet - FY'!I88</f>
        <v>260.83199999999999</v>
      </c>
      <c r="P88" s="72">
        <v>193.09200000000001</v>
      </c>
      <c r="Q88" s="72">
        <v>188.58699999999999</v>
      </c>
      <c r="R88" s="72">
        <v>170.24799999999999</v>
      </c>
      <c r="S88" s="78">
        <f>'Balance Sheet - FY'!J88</f>
        <v>243.93100000000001</v>
      </c>
    </row>
    <row r="89" spans="1:19" outlineLevel="1" x14ac:dyDescent="0.3">
      <c r="A89" s="65" t="s">
        <v>80</v>
      </c>
      <c r="B89" s="18"/>
      <c r="C89" s="78">
        <f>'Balance Sheet - FY'!F89</f>
        <v>3.3740000000000001</v>
      </c>
      <c r="D89" s="72">
        <v>2.6819999999999999</v>
      </c>
      <c r="E89" s="72">
        <v>2.4449999999999998</v>
      </c>
      <c r="F89" s="72">
        <v>2.4700000000000002</v>
      </c>
      <c r="G89" s="78">
        <f>'Balance Sheet - FY'!G89</f>
        <v>2.399</v>
      </c>
      <c r="H89" s="72">
        <v>2.3340000000000001</v>
      </c>
      <c r="I89" s="72">
        <v>2.1259999999999999</v>
      </c>
      <c r="J89" s="89">
        <v>2.06</v>
      </c>
      <c r="K89" s="78">
        <f>'Balance Sheet - FY'!H89</f>
        <v>2.0910000000000002</v>
      </c>
      <c r="L89" s="72">
        <v>2.1230000000000002</v>
      </c>
      <c r="M89" s="72">
        <v>2.133</v>
      </c>
      <c r="N89" s="72">
        <v>2.048</v>
      </c>
      <c r="O89" s="78">
        <f>'Balance Sheet - FY'!I89</f>
        <v>12.555</v>
      </c>
      <c r="P89" s="72">
        <v>12.589</v>
      </c>
      <c r="Q89" s="72">
        <v>11.499000000000001</v>
      </c>
      <c r="R89" s="72">
        <v>11.215</v>
      </c>
      <c r="S89" s="78">
        <f>'Balance Sheet - FY'!J89</f>
        <v>10.795</v>
      </c>
    </row>
    <row r="90" spans="1:19" hidden="1" outlineLevel="2" x14ac:dyDescent="0.3">
      <c r="A90" s="65" t="s">
        <v>257</v>
      </c>
      <c r="B90" s="18"/>
      <c r="C90" s="77">
        <f>'Balance Sheet - FY'!F90</f>
        <v>0</v>
      </c>
      <c r="D90" s="89">
        <v>0</v>
      </c>
      <c r="E90" s="89">
        <v>0</v>
      </c>
      <c r="F90" s="89">
        <v>0</v>
      </c>
      <c r="G90" s="77">
        <f>'Balance Sheet - FY'!G90</f>
        <v>54.963000000000001</v>
      </c>
      <c r="H90" s="89">
        <v>97.49</v>
      </c>
      <c r="I90" s="89">
        <v>7.423</v>
      </c>
      <c r="J90" s="89">
        <v>5.7359999999999998</v>
      </c>
      <c r="K90" s="77">
        <f>'Balance Sheet - FY'!H90</f>
        <v>13.738</v>
      </c>
      <c r="L90" s="89">
        <v>19.957000000000001</v>
      </c>
      <c r="M90" s="89">
        <v>35.555999999999997</v>
      </c>
      <c r="N90" s="89">
        <v>14.093999999999999</v>
      </c>
      <c r="O90" s="77">
        <f>'Balance Sheet - FY'!I90</f>
        <v>10.327</v>
      </c>
      <c r="P90" s="89">
        <v>10.6</v>
      </c>
      <c r="Q90" s="89">
        <v>11.111000000000001</v>
      </c>
      <c r="R90" s="89">
        <v>22.738</v>
      </c>
      <c r="S90" s="77">
        <f>'Balance Sheet - FY'!J90</f>
        <v>87.600999999999999</v>
      </c>
    </row>
    <row r="91" spans="1:19" hidden="1" outlineLevel="2" x14ac:dyDescent="0.3">
      <c r="A91" s="65" t="s">
        <v>258</v>
      </c>
      <c r="B91" s="18"/>
      <c r="C91" s="77">
        <f>'Balance Sheet - FY'!F91</f>
        <v>0</v>
      </c>
      <c r="D91" s="89">
        <v>0</v>
      </c>
      <c r="E91" s="89">
        <v>0</v>
      </c>
      <c r="F91" s="89">
        <v>0</v>
      </c>
      <c r="G91" s="77">
        <f>'Balance Sheet - FY'!G91</f>
        <v>0</v>
      </c>
      <c r="H91" s="89">
        <v>0</v>
      </c>
      <c r="I91" s="89">
        <v>0.88700000000000045</v>
      </c>
      <c r="J91" s="89">
        <v>0.38200000000000001</v>
      </c>
      <c r="K91" s="77">
        <f>'Balance Sheet - FY'!H91</f>
        <v>2.3010000000000019</v>
      </c>
      <c r="L91" s="89">
        <v>3.3559999999999981</v>
      </c>
      <c r="M91" s="89">
        <v>0</v>
      </c>
      <c r="N91" s="89">
        <v>0</v>
      </c>
      <c r="O91" s="77">
        <f>'Balance Sheet - FY'!I91</f>
        <v>0</v>
      </c>
      <c r="P91" s="89">
        <v>0</v>
      </c>
      <c r="Q91" s="89">
        <v>0</v>
      </c>
      <c r="R91" s="89">
        <v>0</v>
      </c>
      <c r="S91" s="77">
        <f>'Balance Sheet - FY'!J91</f>
        <v>0</v>
      </c>
    </row>
    <row r="92" spans="1:19" outlineLevel="1" collapsed="1" x14ac:dyDescent="0.3">
      <c r="A92" s="121" t="s">
        <v>71</v>
      </c>
      <c r="B92" s="87"/>
      <c r="C92" s="84">
        <f t="shared" ref="C92" si="115">IFERROR(C90+C91,"n.a.")</f>
        <v>0</v>
      </c>
      <c r="D92" s="84">
        <f t="shared" ref="D92" si="116">IFERROR(D90+D91,"n.a.")</f>
        <v>0</v>
      </c>
      <c r="E92" s="84">
        <f t="shared" ref="E92" si="117">IFERROR(E90+E91,"n.a.")</f>
        <v>0</v>
      </c>
      <c r="F92" s="84">
        <f t="shared" ref="F92" si="118">IFERROR(F90+F91,"n.a.")</f>
        <v>0</v>
      </c>
      <c r="G92" s="84">
        <f t="shared" ref="G92" si="119">IFERROR(G90+G91,"n.a.")</f>
        <v>54.963000000000001</v>
      </c>
      <c r="H92" s="84">
        <f t="shared" ref="H92" si="120">IFERROR(H90+H91,"n.a.")</f>
        <v>97.49</v>
      </c>
      <c r="I92" s="84">
        <f t="shared" ref="I92" si="121">IFERROR(I90+I91,"n.a.")</f>
        <v>8.31</v>
      </c>
      <c r="J92" s="84">
        <f t="shared" ref="J92:L92" si="122">IFERROR(J90+J91,"n.a.")</f>
        <v>6.1179999999999994</v>
      </c>
      <c r="K92" s="84">
        <f t="shared" ref="K92" si="123">IFERROR(K90+K91,"n.a.")</f>
        <v>16.039000000000001</v>
      </c>
      <c r="L92" s="84">
        <f t="shared" si="122"/>
        <v>23.312999999999999</v>
      </c>
      <c r="M92" s="84">
        <f t="shared" ref="M92:P92" si="124">IFERROR(M90+M91,"n.a.")</f>
        <v>35.555999999999997</v>
      </c>
      <c r="N92" s="84">
        <f t="shared" si="124"/>
        <v>14.093999999999999</v>
      </c>
      <c r="O92" s="84">
        <f t="shared" si="124"/>
        <v>10.327</v>
      </c>
      <c r="P92" s="84">
        <f t="shared" si="124"/>
        <v>10.6</v>
      </c>
      <c r="Q92" s="84">
        <f t="shared" ref="Q92:S92" si="125">IFERROR(Q90+Q91,"n.a.")</f>
        <v>11.111000000000001</v>
      </c>
      <c r="R92" s="84">
        <f t="shared" si="125"/>
        <v>22.738</v>
      </c>
      <c r="S92" s="84">
        <f t="shared" si="125"/>
        <v>87.600999999999999</v>
      </c>
    </row>
    <row r="93" spans="1:19" s="25" customFormat="1" ht="13" x14ac:dyDescent="0.3">
      <c r="A93" s="95" t="s">
        <v>5</v>
      </c>
      <c r="B93" s="91"/>
      <c r="C93" s="92">
        <f t="shared" ref="C93:J93" si="126">IFERROR(C84+C85+C86+C87+C88+C89+C92,"n.a.")</f>
        <v>8028.0550000000003</v>
      </c>
      <c r="D93" s="92">
        <f t="shared" si="126"/>
        <v>6297.1120000000001</v>
      </c>
      <c r="E93" s="92">
        <f t="shared" si="126"/>
        <v>6171.3580000000002</v>
      </c>
      <c r="F93" s="92">
        <f t="shared" si="126"/>
        <v>6045.8159999999998</v>
      </c>
      <c r="G93" s="92">
        <f t="shared" si="126"/>
        <v>5646.6820000000007</v>
      </c>
      <c r="H93" s="92">
        <f t="shared" si="126"/>
        <v>5479.665</v>
      </c>
      <c r="I93" s="92">
        <f t="shared" si="126"/>
        <v>5416.4520000000011</v>
      </c>
      <c r="J93" s="92">
        <f t="shared" si="126"/>
        <v>5492.13</v>
      </c>
      <c r="K93" s="92">
        <f>IFERROR(K84+K85+K86+K87+K88+K89+K92,"n.a.")</f>
        <v>5474.7400000000007</v>
      </c>
      <c r="L93" s="92">
        <f t="shared" ref="L93:M93" si="127">IFERROR(L84+L85+L86+L87+L88+L89+L92,"n.a.")</f>
        <v>6067.2129999999997</v>
      </c>
      <c r="M93" s="92">
        <f t="shared" si="127"/>
        <v>5546.0199999999995</v>
      </c>
      <c r="N93" s="92">
        <f t="shared" ref="N93" si="128">IFERROR(N84+N85+N86+N87+N88+N89+N92,"n.a.")</f>
        <v>5612.5250000000005</v>
      </c>
      <c r="O93" s="92">
        <f>IFERROR(O84+O85+O86+O87+O88+O89+O92,"n.a.")</f>
        <v>5503.35</v>
      </c>
      <c r="P93" s="92">
        <f t="shared" ref="P93:Q93" si="129">IFERROR(P84+P85+P86+P87+P88+P89+P92,"n.a.")</f>
        <v>5835.3639999999996</v>
      </c>
      <c r="Q93" s="92">
        <f t="shared" si="129"/>
        <v>6395.7380000000003</v>
      </c>
      <c r="R93" s="92">
        <f t="shared" ref="R93" si="130">IFERROR(R84+R85+R86+R87+R88+R89+R92,"n.a.")</f>
        <v>6021.1259999999993</v>
      </c>
      <c r="S93" s="92">
        <f>IFERROR(S84+S85+S86+S87+S88+S89+S92,"n.a.")</f>
        <v>6470.6489999999985</v>
      </c>
    </row>
    <row r="94" spans="1:19" outlineLevel="1" x14ac:dyDescent="0.3">
      <c r="A94" s="65" t="s">
        <v>77</v>
      </c>
      <c r="B94" s="18"/>
      <c r="C94" s="78">
        <f>'Balance Sheet - FY'!F94</f>
        <v>642.04700000000003</v>
      </c>
      <c r="D94" s="72">
        <v>1689.816</v>
      </c>
      <c r="E94" s="72">
        <v>540.30399999999997</v>
      </c>
      <c r="F94" s="72">
        <v>580.11400000000003</v>
      </c>
      <c r="G94" s="78">
        <f>'Balance Sheet - FY'!G94</f>
        <v>559.16800000000001</v>
      </c>
      <c r="H94" s="72">
        <v>849.18799999999999</v>
      </c>
      <c r="I94" s="72">
        <v>869.12300000000005</v>
      </c>
      <c r="J94" s="89">
        <v>824.34299999999996</v>
      </c>
      <c r="K94" s="78">
        <f>'Balance Sheet - FY'!H94</f>
        <v>800.14499999999998</v>
      </c>
      <c r="L94" s="72">
        <v>1041.0219999999999</v>
      </c>
      <c r="M94" s="72">
        <v>1399.308</v>
      </c>
      <c r="N94" s="72">
        <v>1454.1790000000001</v>
      </c>
      <c r="O94" s="78">
        <f>'Balance Sheet - FY'!I94</f>
        <v>1419.403</v>
      </c>
      <c r="P94" s="72">
        <v>1196.672</v>
      </c>
      <c r="Q94" s="72">
        <v>1182.306</v>
      </c>
      <c r="R94" s="72">
        <v>1158.6489999999999</v>
      </c>
      <c r="S94" s="78">
        <f>'Balance Sheet - FY'!J94</f>
        <v>883.56700000000001</v>
      </c>
    </row>
    <row r="95" spans="1:19" outlineLevel="1" x14ac:dyDescent="0.3">
      <c r="A95" s="65" t="s">
        <v>53</v>
      </c>
      <c r="B95" s="18"/>
      <c r="C95" s="78">
        <f>'Balance Sheet - FY'!F95</f>
        <v>1498.492</v>
      </c>
      <c r="D95" s="72">
        <v>1062.2349999999999</v>
      </c>
      <c r="E95" s="72">
        <v>1139.7940000000001</v>
      </c>
      <c r="F95" s="72">
        <v>1066.8789999999999</v>
      </c>
      <c r="G95" s="78">
        <f>'Balance Sheet - FY'!G95</f>
        <v>1673.6420000000001</v>
      </c>
      <c r="H95" s="72">
        <v>1062.45</v>
      </c>
      <c r="I95" s="72">
        <v>1052.184</v>
      </c>
      <c r="J95" s="89">
        <v>1004.992</v>
      </c>
      <c r="K95" s="78">
        <f>'Balance Sheet - FY'!H95</f>
        <v>1604.6769999999999</v>
      </c>
      <c r="L95" s="72">
        <v>1142.538</v>
      </c>
      <c r="M95" s="72">
        <v>1200.3440000000001</v>
      </c>
      <c r="N95" s="72">
        <v>1146.6759999999999</v>
      </c>
      <c r="O95" s="78">
        <f>'Balance Sheet - FY'!I95</f>
        <v>1611.4880000000001</v>
      </c>
      <c r="P95" s="72">
        <v>961.33600000000001</v>
      </c>
      <c r="Q95" s="72">
        <v>858.423</v>
      </c>
      <c r="R95" s="72">
        <v>808.41099999999994</v>
      </c>
      <c r="S95" s="78">
        <f>'Balance Sheet - FY'!J95</f>
        <v>1267.971</v>
      </c>
    </row>
    <row r="96" spans="1:19" outlineLevel="1" x14ac:dyDescent="0.3">
      <c r="A96" s="65" t="s">
        <v>238</v>
      </c>
      <c r="B96" s="18"/>
      <c r="C96" s="78">
        <f>'Balance Sheet - FY'!F96</f>
        <v>0</v>
      </c>
      <c r="D96" s="72">
        <v>0</v>
      </c>
      <c r="E96" s="72">
        <v>0</v>
      </c>
      <c r="F96" s="72">
        <v>0</v>
      </c>
      <c r="G96" s="78">
        <f>'Balance Sheet - FY'!G96</f>
        <v>0</v>
      </c>
      <c r="H96" s="72">
        <v>11.202</v>
      </c>
      <c r="I96" s="89">
        <v>0</v>
      </c>
      <c r="J96" s="89">
        <v>0</v>
      </c>
      <c r="K96" s="78">
        <f>'Balance Sheet - FY'!H96</f>
        <v>0</v>
      </c>
      <c r="L96" s="72">
        <v>0</v>
      </c>
      <c r="M96" s="72">
        <v>0</v>
      </c>
      <c r="N96" s="72">
        <v>0</v>
      </c>
      <c r="O96" s="78">
        <f>'Balance Sheet - FY'!I96</f>
        <v>0</v>
      </c>
      <c r="P96" s="72">
        <v>0</v>
      </c>
      <c r="Q96" s="72">
        <v>0</v>
      </c>
      <c r="R96" s="72">
        <v>0</v>
      </c>
      <c r="S96" s="78">
        <f>'Balance Sheet - FY'!J96</f>
        <v>0</v>
      </c>
    </row>
    <row r="97" spans="1:19" outlineLevel="1" x14ac:dyDescent="0.3">
      <c r="A97" s="65" t="s">
        <v>78</v>
      </c>
      <c r="B97" s="18"/>
      <c r="C97" s="78">
        <f>'Balance Sheet - FY'!F97</f>
        <v>783.07899999999995</v>
      </c>
      <c r="D97" s="72">
        <v>482.39</v>
      </c>
      <c r="E97" s="72">
        <v>383.46499999999997</v>
      </c>
      <c r="F97" s="72">
        <v>468.291</v>
      </c>
      <c r="G97" s="78">
        <f>'Balance Sheet - FY'!G97</f>
        <v>565.255</v>
      </c>
      <c r="H97" s="72">
        <v>469.48</v>
      </c>
      <c r="I97" s="72">
        <v>426.06599999999997</v>
      </c>
      <c r="J97" s="89">
        <v>379.49900000000002</v>
      </c>
      <c r="K97" s="78">
        <f>'Balance Sheet - FY'!H97</f>
        <v>436.75200000000001</v>
      </c>
      <c r="L97" s="72">
        <v>401.42500000000001</v>
      </c>
      <c r="M97" s="72">
        <v>413.51499999999999</v>
      </c>
      <c r="N97" s="72">
        <v>375.28</v>
      </c>
      <c r="O97" s="78">
        <f>'Balance Sheet - FY'!I97</f>
        <v>402.75700000000001</v>
      </c>
      <c r="P97" s="72">
        <v>340.79</v>
      </c>
      <c r="Q97" s="72">
        <v>330.798</v>
      </c>
      <c r="R97" s="72">
        <v>372.87799999999999</v>
      </c>
      <c r="S97" s="78">
        <f>'Balance Sheet - FY'!J97</f>
        <v>374.26600000000002</v>
      </c>
    </row>
    <row r="98" spans="1:19" outlineLevel="1" x14ac:dyDescent="0.3">
      <c r="A98" s="65" t="s">
        <v>79</v>
      </c>
      <c r="B98" s="18"/>
      <c r="C98" s="78">
        <f>'Balance Sheet - FY'!F98</f>
        <v>45.987000000000002</v>
      </c>
      <c r="D98" s="72">
        <v>38.603000000000002</v>
      </c>
      <c r="E98" s="72">
        <v>56.116</v>
      </c>
      <c r="F98" s="72">
        <v>37.042999999999999</v>
      </c>
      <c r="G98" s="78">
        <f>'Balance Sheet - FY'!G98</f>
        <v>45.832999999999998</v>
      </c>
      <c r="H98" s="72">
        <v>46.167999999999999</v>
      </c>
      <c r="I98" s="72">
        <v>49.606000000000002</v>
      </c>
      <c r="J98" s="89">
        <v>38.454999999999998</v>
      </c>
      <c r="K98" s="78">
        <f>'Balance Sheet - FY'!H98</f>
        <v>33.875999999999998</v>
      </c>
      <c r="L98" s="72">
        <v>36.533999999999999</v>
      </c>
      <c r="M98" s="72">
        <v>30.34</v>
      </c>
      <c r="N98" s="72">
        <v>27.649000000000001</v>
      </c>
      <c r="O98" s="78">
        <f>'Balance Sheet - FY'!I98</f>
        <v>43.527999999999999</v>
      </c>
      <c r="P98" s="72">
        <v>38.295999999999999</v>
      </c>
      <c r="Q98" s="72">
        <v>44.91</v>
      </c>
      <c r="R98" s="72">
        <v>52.883000000000003</v>
      </c>
      <c r="S98" s="78">
        <f>'Balance Sheet - FY'!J98</f>
        <v>48.082999999999998</v>
      </c>
    </row>
    <row r="99" spans="1:19" outlineLevel="1" x14ac:dyDescent="0.3">
      <c r="A99" s="65" t="s">
        <v>349</v>
      </c>
      <c r="B99" s="18"/>
      <c r="C99" s="78">
        <f>'Balance Sheet - FY'!F99</f>
        <v>0</v>
      </c>
      <c r="D99" s="72">
        <v>0</v>
      </c>
      <c r="E99" s="72">
        <v>0</v>
      </c>
      <c r="F99" s="72">
        <v>0</v>
      </c>
      <c r="G99" s="78">
        <f>'Balance Sheet - FY'!G99</f>
        <v>0</v>
      </c>
      <c r="H99" s="72">
        <v>3.3</v>
      </c>
      <c r="I99" s="72">
        <v>0.76800000000000002</v>
      </c>
      <c r="J99" s="89">
        <v>3.1589999999999998</v>
      </c>
      <c r="K99" s="78">
        <f>'Balance Sheet - FY'!H99</f>
        <v>5.4749999999999996</v>
      </c>
      <c r="L99" s="72">
        <v>7.7869999999999999</v>
      </c>
      <c r="M99" s="72">
        <v>0.628</v>
      </c>
      <c r="N99" s="72">
        <v>2.5510000000000002</v>
      </c>
      <c r="O99" s="78">
        <f>'Balance Sheet - FY'!I99</f>
        <v>4.1040000000000001</v>
      </c>
      <c r="P99" s="72">
        <v>5.9710000000000001</v>
      </c>
      <c r="Q99" s="72">
        <v>0.83399999999999996</v>
      </c>
      <c r="R99" s="72">
        <v>2.8479999999999999</v>
      </c>
      <c r="S99" s="78">
        <f>'Balance Sheet - FY'!J99</f>
        <v>5.0129999999999999</v>
      </c>
    </row>
    <row r="100" spans="1:19" outlineLevel="1" x14ac:dyDescent="0.3">
      <c r="A100" s="65" t="s">
        <v>80</v>
      </c>
      <c r="B100" s="18"/>
      <c r="C100" s="78">
        <f>'Balance Sheet - FY'!F100</f>
        <v>41.773000000000003</v>
      </c>
      <c r="D100" s="72">
        <v>68.361999999999995</v>
      </c>
      <c r="E100" s="72">
        <v>43.317</v>
      </c>
      <c r="F100" s="72">
        <v>32.344999999999999</v>
      </c>
      <c r="G100" s="78">
        <f>'Balance Sheet - FY'!G100</f>
        <v>48.415999999999997</v>
      </c>
      <c r="H100" s="72">
        <v>55.067999999999998</v>
      </c>
      <c r="I100" s="72">
        <v>39.088000000000001</v>
      </c>
      <c r="J100" s="89">
        <v>92.376000000000005</v>
      </c>
      <c r="K100" s="78">
        <f>'Balance Sheet - FY'!H100</f>
        <v>65.503</v>
      </c>
      <c r="L100" s="72">
        <v>54.011000000000003</v>
      </c>
      <c r="M100" s="72">
        <v>81.896000000000001</v>
      </c>
      <c r="N100" s="72">
        <v>85.304000000000002</v>
      </c>
      <c r="O100" s="78">
        <f>'Balance Sheet - FY'!I100</f>
        <v>81.766000000000005</v>
      </c>
      <c r="P100" s="72">
        <v>77.47</v>
      </c>
      <c r="Q100" s="72">
        <v>69.369</v>
      </c>
      <c r="R100" s="72">
        <v>74.251000000000005</v>
      </c>
      <c r="S100" s="78">
        <f>'Balance Sheet - FY'!J100</f>
        <v>99.504999999999995</v>
      </c>
    </row>
    <row r="101" spans="1:19" hidden="1" outlineLevel="2" x14ac:dyDescent="0.3">
      <c r="A101" s="93" t="s">
        <v>131</v>
      </c>
      <c r="B101" s="18"/>
      <c r="C101" s="77">
        <f>'Balance Sheet - FY'!F101</f>
        <v>35.741999999999997</v>
      </c>
      <c r="D101" s="89">
        <v>29.254000000000001</v>
      </c>
      <c r="E101" s="89">
        <v>17.702000000000002</v>
      </c>
      <c r="F101" s="72">
        <v>41.767000000000003</v>
      </c>
      <c r="G101" s="78">
        <f>'Balance Sheet - FY'!G101</f>
        <v>11.247999999999999</v>
      </c>
      <c r="H101" s="89">
        <v>23.564</v>
      </c>
      <c r="I101" s="89">
        <v>26.373000000000001</v>
      </c>
      <c r="J101" s="89">
        <v>21.818000000000001</v>
      </c>
      <c r="K101" s="78">
        <f>'Balance Sheet - FY'!H101</f>
        <v>53.51</v>
      </c>
      <c r="L101" s="89">
        <v>27.242999999999999</v>
      </c>
      <c r="M101" s="89">
        <v>34.423999999999999</v>
      </c>
      <c r="N101" s="89">
        <v>31.716000000000001</v>
      </c>
      <c r="O101" s="78">
        <f>'Balance Sheet - FY'!I101</f>
        <v>31.702999999999999</v>
      </c>
      <c r="P101" s="89">
        <v>30.265999999999998</v>
      </c>
      <c r="Q101" s="89">
        <v>25.696999999999999</v>
      </c>
      <c r="R101" s="89">
        <v>26.71</v>
      </c>
      <c r="S101" s="78">
        <f>'Balance Sheet - FY'!J101</f>
        <v>53.926000000000002</v>
      </c>
    </row>
    <row r="102" spans="1:19" hidden="1" outlineLevel="2" x14ac:dyDescent="0.3">
      <c r="A102" s="93" t="s">
        <v>132</v>
      </c>
      <c r="B102" s="18"/>
      <c r="C102" s="77">
        <f>'Balance Sheet - FY'!F102</f>
        <v>16.428000000000004</v>
      </c>
      <c r="D102" s="89">
        <v>12.196999999999999</v>
      </c>
      <c r="E102" s="89">
        <v>19.315999999999999</v>
      </c>
      <c r="F102" s="72">
        <v>16.978999999999999</v>
      </c>
      <c r="G102" s="78">
        <f>'Balance Sheet - FY'!G102</f>
        <v>6.6620000000000008</v>
      </c>
      <c r="H102" s="89">
        <v>6.3000000000000007</v>
      </c>
      <c r="I102" s="89">
        <v>5.8039999999999985</v>
      </c>
      <c r="J102" s="89">
        <v>9.1890000000000001</v>
      </c>
      <c r="K102" s="78">
        <f>'Balance Sheet - FY'!H102</f>
        <v>6.0919999999999987</v>
      </c>
      <c r="L102" s="89">
        <v>7.3030000000000008</v>
      </c>
      <c r="M102" s="89">
        <v>5.963000000000001</v>
      </c>
      <c r="N102" s="89">
        <v>8.4309999999999992</v>
      </c>
      <c r="O102" s="78">
        <f>'Balance Sheet - FY'!I102</f>
        <v>9.7240000000000002</v>
      </c>
      <c r="P102" s="89">
        <v>15.914000000000001</v>
      </c>
      <c r="Q102" s="89">
        <v>4.2729999999999997</v>
      </c>
      <c r="R102" s="89">
        <v>7.3729999999999976</v>
      </c>
      <c r="S102" s="78">
        <f>'Balance Sheet - FY'!J102</f>
        <v>5.1869999999999976</v>
      </c>
    </row>
    <row r="103" spans="1:19" outlineLevel="1" collapsed="1" x14ac:dyDescent="0.3">
      <c r="A103" s="65" t="s">
        <v>71</v>
      </c>
      <c r="B103" s="18"/>
      <c r="C103" s="84">
        <f t="shared" ref="C103" si="131">IFERROR(C101+C102,"n.a.")</f>
        <v>52.17</v>
      </c>
      <c r="D103" s="84">
        <f t="shared" ref="D103" si="132">IFERROR(D101+D102,"n.a.")</f>
        <v>41.451000000000001</v>
      </c>
      <c r="E103" s="84">
        <f t="shared" ref="E103" si="133">IFERROR(E101+E102,"n.a.")</f>
        <v>37.018000000000001</v>
      </c>
      <c r="F103" s="84">
        <f t="shared" ref="F103" si="134">IFERROR(F101+F102,"n.a.")</f>
        <v>58.746000000000002</v>
      </c>
      <c r="G103" s="84">
        <f t="shared" ref="G103" si="135">IFERROR(G101+G102,"n.a.")</f>
        <v>17.91</v>
      </c>
      <c r="H103" s="84">
        <f t="shared" ref="H103" si="136">IFERROR(H101+H102,"n.a.")</f>
        <v>29.864000000000001</v>
      </c>
      <c r="I103" s="84">
        <f t="shared" ref="I103" si="137">IFERROR(I101+I102,"n.a.")</f>
        <v>32.177</v>
      </c>
      <c r="J103" s="84">
        <f t="shared" ref="J103:L103" si="138">IFERROR(J101+J102,"n.a.")</f>
        <v>31.007000000000001</v>
      </c>
      <c r="K103" s="84">
        <f t="shared" ref="K103" si="139">IFERROR(K101+K102,"n.a.")</f>
        <v>59.601999999999997</v>
      </c>
      <c r="L103" s="84">
        <f t="shared" si="138"/>
        <v>34.545999999999999</v>
      </c>
      <c r="M103" s="84">
        <f t="shared" ref="M103:P103" si="140">IFERROR(M101+M102,"n.a.")</f>
        <v>40.387</v>
      </c>
      <c r="N103" s="84">
        <f t="shared" si="140"/>
        <v>40.146999999999998</v>
      </c>
      <c r="O103" s="84">
        <f t="shared" si="140"/>
        <v>41.427</v>
      </c>
      <c r="P103" s="84">
        <f t="shared" si="140"/>
        <v>46.18</v>
      </c>
      <c r="Q103" s="84">
        <f t="shared" ref="Q103:S103" si="141">IFERROR(Q101+Q102,"n.a.")</f>
        <v>29.97</v>
      </c>
      <c r="R103" s="84">
        <f t="shared" si="141"/>
        <v>34.082999999999998</v>
      </c>
      <c r="S103" s="84">
        <f t="shared" si="141"/>
        <v>59.113</v>
      </c>
    </row>
    <row r="104" spans="1:19" s="25" customFormat="1" ht="13" x14ac:dyDescent="0.3">
      <c r="A104" s="95" t="s">
        <v>6</v>
      </c>
      <c r="B104" s="91"/>
      <c r="C104" s="92">
        <f t="shared" ref="C104:J104" si="142">IFERROR(C94+C95+C96+C97+C98+C99+C100+C103,"n.a.")</f>
        <v>3063.5479999999998</v>
      </c>
      <c r="D104" s="92">
        <f t="shared" si="142"/>
        <v>3382.857</v>
      </c>
      <c r="E104" s="92">
        <f t="shared" si="142"/>
        <v>2200.0140000000001</v>
      </c>
      <c r="F104" s="92">
        <f t="shared" si="142"/>
        <v>2243.4180000000001</v>
      </c>
      <c r="G104" s="92">
        <f t="shared" si="142"/>
        <v>2910.2240000000002</v>
      </c>
      <c r="H104" s="92">
        <f t="shared" si="142"/>
        <v>2526.7200000000003</v>
      </c>
      <c r="I104" s="92">
        <f t="shared" si="142"/>
        <v>2469.0120000000006</v>
      </c>
      <c r="J104" s="92">
        <f t="shared" si="142"/>
        <v>2373.8310000000001</v>
      </c>
      <c r="K104" s="92">
        <f>IFERROR(K94+K95+K96+K97+K98+K99+K100+K103,"n.a.")</f>
        <v>3006.03</v>
      </c>
      <c r="L104" s="92">
        <f t="shared" ref="L104:M104" si="143">IFERROR(L94+L95+L96+L97+L98+L99+L100+L103,"n.a.")</f>
        <v>2717.8629999999998</v>
      </c>
      <c r="M104" s="92">
        <f t="shared" si="143"/>
        <v>3166.4180000000006</v>
      </c>
      <c r="N104" s="92">
        <f t="shared" ref="N104" si="144">IFERROR(N94+N95+N96+N97+N98+N99+N100+N103,"n.a.")</f>
        <v>3131.7860000000001</v>
      </c>
      <c r="O104" s="92">
        <f>IFERROR(O94+O95+O96+O97+O98+O99+O100+O103,"n.a.")</f>
        <v>3604.473</v>
      </c>
      <c r="P104" s="92">
        <f t="shared" ref="P104:Q104" si="145">IFERROR(P94+P95+P96+P97+P98+P99+P100+P103,"n.a.")</f>
        <v>2666.7149999999992</v>
      </c>
      <c r="Q104" s="92">
        <f t="shared" si="145"/>
        <v>2516.6099999999997</v>
      </c>
      <c r="R104" s="92">
        <f t="shared" ref="R104" si="146">IFERROR(R94+R95+R96+R97+R98+R99+R100+R103,"n.a.")</f>
        <v>2504.0030000000002</v>
      </c>
      <c r="S104" s="92">
        <f>IFERROR(S94+S95+S96+S97+S98+S99+S100+S103,"n.a.")</f>
        <v>2737.518</v>
      </c>
    </row>
    <row r="105" spans="1:19" outlineLevel="1" x14ac:dyDescent="0.3">
      <c r="A105" s="32" t="s">
        <v>7</v>
      </c>
      <c r="B105" s="18"/>
      <c r="C105" s="78">
        <f>'Balance Sheet - FY'!F105</f>
        <v>0</v>
      </c>
      <c r="D105" s="72">
        <v>39.966999999999999</v>
      </c>
      <c r="E105" s="72"/>
      <c r="F105" s="72">
        <v>92.775999999999996</v>
      </c>
      <c r="G105" s="78">
        <f>'Balance Sheet - FY'!G105</f>
        <v>0</v>
      </c>
      <c r="H105" s="72">
        <v>0</v>
      </c>
      <c r="I105" s="72">
        <v>0</v>
      </c>
      <c r="J105" s="89">
        <v>0</v>
      </c>
      <c r="K105" s="78">
        <f>'Balance Sheet - FY'!H105</f>
        <v>0</v>
      </c>
      <c r="L105" s="72">
        <v>0</v>
      </c>
      <c r="M105" s="72">
        <v>0</v>
      </c>
      <c r="N105" s="72">
        <v>0</v>
      </c>
      <c r="O105" s="78">
        <f>'Balance Sheet - FY'!I105</f>
        <v>0</v>
      </c>
      <c r="P105" s="72">
        <v>0</v>
      </c>
      <c r="Q105" s="72">
        <v>0</v>
      </c>
      <c r="R105" s="72">
        <v>0</v>
      </c>
      <c r="S105" s="78">
        <f>'Balance Sheet - FY'!J105</f>
        <v>0</v>
      </c>
    </row>
    <row r="106" spans="1:19" s="25" customFormat="1" ht="13" x14ac:dyDescent="0.3">
      <c r="A106" s="103" t="s">
        <v>81</v>
      </c>
      <c r="B106" s="103"/>
      <c r="C106" s="104">
        <f t="shared" ref="C106:J106" si="147">IFERROR(C93+C104+C105,"n.a.")</f>
        <v>11091.602999999999</v>
      </c>
      <c r="D106" s="104">
        <f t="shared" si="147"/>
        <v>9719.9360000000015</v>
      </c>
      <c r="E106" s="104">
        <f t="shared" si="147"/>
        <v>8371.3719999999994</v>
      </c>
      <c r="F106" s="104">
        <f t="shared" si="147"/>
        <v>8382.01</v>
      </c>
      <c r="G106" s="104">
        <f t="shared" si="147"/>
        <v>8556.9060000000009</v>
      </c>
      <c r="H106" s="104">
        <f t="shared" si="147"/>
        <v>8006.3850000000002</v>
      </c>
      <c r="I106" s="104">
        <f t="shared" si="147"/>
        <v>7885.4640000000018</v>
      </c>
      <c r="J106" s="104">
        <f t="shared" si="147"/>
        <v>7865.9610000000002</v>
      </c>
      <c r="K106" s="104">
        <f>IFERROR(K93+K104+K105,"n.a.")</f>
        <v>8480.77</v>
      </c>
      <c r="L106" s="104">
        <f t="shared" ref="L106:M106" si="148">IFERROR(L93+L104+L105,"n.a.")</f>
        <v>8785.0759999999991</v>
      </c>
      <c r="M106" s="104">
        <f t="shared" si="148"/>
        <v>8712.4380000000001</v>
      </c>
      <c r="N106" s="104">
        <f t="shared" ref="N106" si="149">IFERROR(N93+N104+N105,"n.a.")</f>
        <v>8744.3110000000015</v>
      </c>
      <c r="O106" s="104">
        <f>IFERROR(O93+O104+O105,"n.a.")</f>
        <v>9107.8230000000003</v>
      </c>
      <c r="P106" s="104">
        <f t="shared" ref="P106:Q106" si="150">IFERROR(P93+P104+P105,"n.a.")</f>
        <v>8502.0789999999979</v>
      </c>
      <c r="Q106" s="104">
        <f t="shared" si="150"/>
        <v>8912.348</v>
      </c>
      <c r="R106" s="104">
        <f t="shared" ref="R106" si="151">IFERROR(R93+R104+R105,"n.a.")</f>
        <v>8525.128999999999</v>
      </c>
      <c r="S106" s="104">
        <f>IFERROR(S93+S104+S105,"n.a.")</f>
        <v>9208.1669999999976</v>
      </c>
    </row>
    <row r="108" spans="1:19" outlineLevel="1" x14ac:dyDescent="0.3">
      <c r="A108" s="66" t="s">
        <v>73</v>
      </c>
      <c r="B108" s="37"/>
      <c r="C108" s="56">
        <f>'Balance Sheet - FY'!F108</f>
        <v>1342.2809999999999</v>
      </c>
      <c r="D108" s="69">
        <v>1342.2809999999999</v>
      </c>
      <c r="E108" s="69">
        <v>1904.375</v>
      </c>
      <c r="F108" s="69">
        <v>1904.375</v>
      </c>
      <c r="G108" s="56">
        <f>'Balance Sheet - FY'!G108</f>
        <v>1904.375</v>
      </c>
      <c r="H108" s="69">
        <v>1904.375</v>
      </c>
      <c r="I108" s="69">
        <v>1904.375</v>
      </c>
      <c r="J108" s="180">
        <v>1904.375</v>
      </c>
      <c r="K108" s="56">
        <f>'Balance Sheet - FY'!H108</f>
        <v>1904.375</v>
      </c>
      <c r="L108" s="69">
        <v>1904.375</v>
      </c>
      <c r="M108" s="69">
        <v>1904.375</v>
      </c>
      <c r="N108" s="69">
        <v>1904.375</v>
      </c>
      <c r="O108" s="56">
        <f>'Balance Sheet - FY'!I108</f>
        <v>1904.375</v>
      </c>
      <c r="P108" s="69">
        <v>1904.375</v>
      </c>
      <c r="Q108" s="69">
        <v>1904.375</v>
      </c>
      <c r="R108" s="69">
        <v>1904.375</v>
      </c>
      <c r="S108" s="56">
        <f>'Balance Sheet - FY'!J108</f>
        <v>1904.375</v>
      </c>
    </row>
    <row r="109" spans="1:19" outlineLevel="1" x14ac:dyDescent="0.3">
      <c r="A109" s="65" t="s">
        <v>74</v>
      </c>
      <c r="B109" s="18"/>
      <c r="C109" s="78">
        <f>'Balance Sheet - FY'!F109</f>
        <v>1656.741</v>
      </c>
      <c r="D109" s="72">
        <v>1614.7439999999999</v>
      </c>
      <c r="E109" s="72">
        <v>2028.549</v>
      </c>
      <c r="F109" s="72">
        <v>2076.0369999999998</v>
      </c>
      <c r="G109" s="78">
        <f>'Balance Sheet - FY'!G109</f>
        <v>2035.991</v>
      </c>
      <c r="H109" s="72">
        <v>2210.9369999999999</v>
      </c>
      <c r="I109" s="72">
        <v>2166.527</v>
      </c>
      <c r="J109" s="89">
        <v>2116.6689999999999</v>
      </c>
      <c r="K109" s="78">
        <f>'Balance Sheet - FY'!H109</f>
        <v>2132.14</v>
      </c>
      <c r="L109" s="72">
        <v>2601.9070000000002</v>
      </c>
      <c r="M109" s="72">
        <v>2375.1869999999999</v>
      </c>
      <c r="N109" s="72">
        <v>2373.3609999999999</v>
      </c>
      <c r="O109" s="78">
        <f>'Balance Sheet - FY'!I109</f>
        <v>2381.94</v>
      </c>
      <c r="P109" s="72">
        <v>2551.7220000000002</v>
      </c>
      <c r="Q109" s="72">
        <v>2504.3679999999999</v>
      </c>
      <c r="R109" s="72">
        <v>2425.511</v>
      </c>
      <c r="S109" s="78">
        <f>'Balance Sheet - FY'!J109</f>
        <v>2513.2620000000002</v>
      </c>
    </row>
    <row r="110" spans="1:19" outlineLevel="1" x14ac:dyDescent="0.3">
      <c r="A110" s="65" t="s">
        <v>20</v>
      </c>
      <c r="B110" s="18"/>
      <c r="C110" s="78">
        <f>'Balance Sheet - FY'!F110</f>
        <v>135.06299999999999</v>
      </c>
      <c r="D110" s="72">
        <v>-27.942</v>
      </c>
      <c r="E110" s="72">
        <v>66.984999999999999</v>
      </c>
      <c r="F110" s="72">
        <v>123.57899999999999</v>
      </c>
      <c r="G110" s="78">
        <f>'Balance Sheet - FY'!G110</f>
        <v>176.392</v>
      </c>
      <c r="H110" s="72">
        <v>90.369</v>
      </c>
      <c r="I110" s="72">
        <v>172.04300000000001</v>
      </c>
      <c r="J110" s="89">
        <v>362.54199999999997</v>
      </c>
      <c r="K110" s="78">
        <f>'Balance Sheet - FY'!H110</f>
        <v>431.60599999999999</v>
      </c>
      <c r="L110" s="72">
        <v>97.614000000000004</v>
      </c>
      <c r="M110" s="72">
        <v>297.91699999999997</v>
      </c>
      <c r="N110" s="72">
        <v>372.666</v>
      </c>
      <c r="O110" s="78">
        <f>'Balance Sheet - FY'!I110</f>
        <v>438.13400000000001</v>
      </c>
      <c r="P110" s="72">
        <v>37.219000000000001</v>
      </c>
      <c r="Q110" s="72">
        <v>-103.28</v>
      </c>
      <c r="R110" s="72">
        <v>-23.584</v>
      </c>
      <c r="S110" s="78">
        <f>'Balance Sheet - FY'!J110</f>
        <v>29.780999999999999</v>
      </c>
    </row>
    <row r="111" spans="1:19" s="25" customFormat="1" ht="13" outlineLevel="1" x14ac:dyDescent="0.3">
      <c r="A111" s="32" t="s">
        <v>15</v>
      </c>
      <c r="B111" s="18"/>
      <c r="C111" s="55">
        <f t="shared" ref="C111:J111" si="152">IFERROR(C108+C109+C110,"n.a.")</f>
        <v>3134.085</v>
      </c>
      <c r="D111" s="55">
        <f t="shared" si="152"/>
        <v>2929.0829999999996</v>
      </c>
      <c r="E111" s="55">
        <f t="shared" si="152"/>
        <v>3999.9090000000001</v>
      </c>
      <c r="F111" s="55">
        <f t="shared" si="152"/>
        <v>4103.991</v>
      </c>
      <c r="G111" s="55">
        <f t="shared" si="152"/>
        <v>4116.7579999999998</v>
      </c>
      <c r="H111" s="55">
        <f t="shared" si="152"/>
        <v>4205.6809999999996</v>
      </c>
      <c r="I111" s="55">
        <f t="shared" si="152"/>
        <v>4242.9449999999997</v>
      </c>
      <c r="J111" s="55">
        <f t="shared" si="152"/>
        <v>4383.5860000000002</v>
      </c>
      <c r="K111" s="55">
        <f>IFERROR(K108+K109+K110,"n.a.")</f>
        <v>4468.1210000000001</v>
      </c>
      <c r="L111" s="55">
        <f t="shared" ref="L111:M111" si="153">IFERROR(L108+L109+L110,"n.a.")</f>
        <v>4603.8959999999997</v>
      </c>
      <c r="M111" s="55">
        <f t="shared" si="153"/>
        <v>4577.4790000000003</v>
      </c>
      <c r="N111" s="55">
        <f t="shared" ref="N111" si="154">IFERROR(N108+N109+N110,"n.a.")</f>
        <v>4650.402</v>
      </c>
      <c r="O111" s="55">
        <f>IFERROR(O108+O109+O110,"n.a.")</f>
        <v>4724.4490000000005</v>
      </c>
      <c r="P111" s="55">
        <f t="shared" ref="P111:Q111" si="155">IFERROR(P108+P109+P110,"n.a.")</f>
        <v>4493.3159999999998</v>
      </c>
      <c r="Q111" s="55">
        <f t="shared" si="155"/>
        <v>4305.4630000000006</v>
      </c>
      <c r="R111" s="55">
        <f t="shared" ref="R111" si="156">IFERROR(R108+R109+R110,"n.a.")</f>
        <v>4306.3020000000006</v>
      </c>
      <c r="S111" s="55">
        <f>IFERROR(S108+S109+S110,"n.a.")</f>
        <v>4447.4180000000006</v>
      </c>
    </row>
    <row r="112" spans="1:19" outlineLevel="1" x14ac:dyDescent="0.3">
      <c r="A112" s="65" t="s">
        <v>74</v>
      </c>
      <c r="B112" s="18"/>
      <c r="C112" s="78">
        <f>'Balance Sheet - FY'!F112</f>
        <v>128.21100000000001</v>
      </c>
      <c r="D112" s="72">
        <v>72.902000000000001</v>
      </c>
      <c r="E112" s="72">
        <v>56.787999999999997</v>
      </c>
      <c r="F112" s="72">
        <v>55.292000000000002</v>
      </c>
      <c r="G112" s="78">
        <f>'Balance Sheet - FY'!G112</f>
        <v>60.936</v>
      </c>
      <c r="H112" s="72">
        <v>63.192</v>
      </c>
      <c r="I112" s="72">
        <v>75.106999999999999</v>
      </c>
      <c r="J112" s="89">
        <v>72.378</v>
      </c>
      <c r="K112" s="78">
        <f>'Balance Sheet - FY'!H112</f>
        <v>72.040000000000006</v>
      </c>
      <c r="L112" s="72">
        <v>80.19</v>
      </c>
      <c r="M112" s="72">
        <v>77.161000000000001</v>
      </c>
      <c r="N112" s="72">
        <v>78.956999999999994</v>
      </c>
      <c r="O112" s="78">
        <f>'Balance Sheet - FY'!I112</f>
        <v>82.619</v>
      </c>
      <c r="P112" s="72">
        <v>95.71</v>
      </c>
      <c r="Q112" s="72">
        <v>97.11</v>
      </c>
      <c r="R112" s="72">
        <v>91.847999999999999</v>
      </c>
      <c r="S112" s="78">
        <f>'Balance Sheet - FY'!J112</f>
        <v>91.54</v>
      </c>
    </row>
    <row r="113" spans="1:20" outlineLevel="1" x14ac:dyDescent="0.3">
      <c r="A113" s="65" t="s">
        <v>20</v>
      </c>
      <c r="B113" s="18"/>
      <c r="C113" s="78">
        <f>'Balance Sheet - FY'!F113</f>
        <v>12.561999999999999</v>
      </c>
      <c r="D113" s="72">
        <v>0.89600000000000002</v>
      </c>
      <c r="E113" s="72">
        <v>0.61</v>
      </c>
      <c r="F113" s="72">
        <v>0.28399999999999997</v>
      </c>
      <c r="G113" s="78">
        <f>'Balance Sheet - FY'!G113</f>
        <v>-0.68500000000000005</v>
      </c>
      <c r="H113" s="72">
        <v>-1.254</v>
      </c>
      <c r="I113" s="72">
        <v>5.1870000000000003</v>
      </c>
      <c r="J113" s="89">
        <v>8.8360000000000003</v>
      </c>
      <c r="K113" s="78">
        <f>'Balance Sheet - FY'!H113</f>
        <v>10.766</v>
      </c>
      <c r="L113" s="72">
        <v>3.8220000000000001</v>
      </c>
      <c r="M113" s="72">
        <v>9.0739999999999998</v>
      </c>
      <c r="N113" s="72">
        <v>13.042999999999999</v>
      </c>
      <c r="O113" s="78">
        <f>'Balance Sheet - FY'!I113</f>
        <v>19.562999999999999</v>
      </c>
      <c r="P113" s="72">
        <v>1.2450000000000001</v>
      </c>
      <c r="Q113" s="72">
        <v>1.571</v>
      </c>
      <c r="R113" s="72">
        <v>5.7240000000000002</v>
      </c>
      <c r="S113" s="78">
        <f>'Balance Sheet - FY'!J113</f>
        <v>12.891999999999999</v>
      </c>
    </row>
    <row r="114" spans="1:20" s="25" customFormat="1" ht="13" outlineLevel="1" x14ac:dyDescent="0.3">
      <c r="A114" s="32" t="s">
        <v>16</v>
      </c>
      <c r="B114" s="18"/>
      <c r="C114" s="55">
        <f t="shared" ref="C114" si="157">IFERROR(C112+C113,"n.a.")</f>
        <v>140.77300000000002</v>
      </c>
      <c r="D114" s="55">
        <f t="shared" ref="D114" si="158">IFERROR(D112+D113,"n.a.")</f>
        <v>73.798000000000002</v>
      </c>
      <c r="E114" s="55">
        <f t="shared" ref="E114" si="159">IFERROR(E112+E113,"n.a.")</f>
        <v>57.397999999999996</v>
      </c>
      <c r="F114" s="55">
        <f t="shared" ref="F114" si="160">IFERROR(F112+F113,"n.a.")</f>
        <v>55.576000000000001</v>
      </c>
      <c r="G114" s="55">
        <f t="shared" ref="G114" si="161">IFERROR(G112+G113,"n.a.")</f>
        <v>60.250999999999998</v>
      </c>
      <c r="H114" s="55">
        <f t="shared" ref="H114" si="162">IFERROR(H112+H113,"n.a.")</f>
        <v>61.938000000000002</v>
      </c>
      <c r="I114" s="55">
        <f t="shared" ref="I114" si="163">IFERROR(I112+I113,"n.a.")</f>
        <v>80.293999999999997</v>
      </c>
      <c r="J114" s="55">
        <f t="shared" ref="J114:L114" si="164">IFERROR(J112+J113,"n.a.")</f>
        <v>81.213999999999999</v>
      </c>
      <c r="K114" s="55">
        <f t="shared" ref="K114" si="165">IFERROR(K112+K113,"n.a.")</f>
        <v>82.806000000000012</v>
      </c>
      <c r="L114" s="55">
        <f t="shared" si="164"/>
        <v>84.012</v>
      </c>
      <c r="M114" s="55">
        <f t="shared" ref="M114:P114" si="166">IFERROR(M112+M113,"n.a.")</f>
        <v>86.234999999999999</v>
      </c>
      <c r="N114" s="55">
        <f t="shared" si="166"/>
        <v>92</v>
      </c>
      <c r="O114" s="55">
        <f t="shared" si="166"/>
        <v>102.182</v>
      </c>
      <c r="P114" s="55">
        <f t="shared" si="166"/>
        <v>96.954999999999998</v>
      </c>
      <c r="Q114" s="55">
        <f t="shared" ref="Q114:S114" si="167">IFERROR(Q112+Q113,"n.a.")</f>
        <v>98.680999999999997</v>
      </c>
      <c r="R114" s="55">
        <f t="shared" si="167"/>
        <v>97.572000000000003</v>
      </c>
      <c r="S114" s="55">
        <f t="shared" si="167"/>
        <v>104.432</v>
      </c>
    </row>
    <row r="115" spans="1:20" s="25" customFormat="1" ht="13" x14ac:dyDescent="0.3">
      <c r="A115" s="103" t="s">
        <v>4</v>
      </c>
      <c r="B115" s="103"/>
      <c r="C115" s="104">
        <f t="shared" ref="C115:J115" si="168">IFERROR(C111+C114,"n.a.")</f>
        <v>3274.8580000000002</v>
      </c>
      <c r="D115" s="104">
        <f t="shared" si="168"/>
        <v>3002.8809999999994</v>
      </c>
      <c r="E115" s="104">
        <f t="shared" si="168"/>
        <v>4057.3070000000002</v>
      </c>
      <c r="F115" s="104">
        <f t="shared" si="168"/>
        <v>4159.567</v>
      </c>
      <c r="G115" s="104">
        <f t="shared" si="168"/>
        <v>4177.009</v>
      </c>
      <c r="H115" s="104">
        <f t="shared" si="168"/>
        <v>4267.6189999999997</v>
      </c>
      <c r="I115" s="104">
        <f t="shared" si="168"/>
        <v>4323.2389999999996</v>
      </c>
      <c r="J115" s="104">
        <f t="shared" si="168"/>
        <v>4464.8</v>
      </c>
      <c r="K115" s="104">
        <f>IFERROR(K111+K114,"n.a.")</f>
        <v>4550.9269999999997</v>
      </c>
      <c r="L115" s="104">
        <f t="shared" ref="L115:M115" si="169">IFERROR(L111+L114,"n.a.")</f>
        <v>4687.9079999999994</v>
      </c>
      <c r="M115" s="104">
        <f t="shared" si="169"/>
        <v>4663.7139999999999</v>
      </c>
      <c r="N115" s="104">
        <f t="shared" ref="N115" si="170">IFERROR(N111+N114,"n.a.")</f>
        <v>4742.402</v>
      </c>
      <c r="O115" s="104">
        <f>IFERROR(O111+O114,"n.a.")</f>
        <v>4826.6310000000003</v>
      </c>
      <c r="P115" s="104">
        <f t="shared" ref="P115:Q115" si="171">IFERROR(P111+P114,"n.a.")</f>
        <v>4590.2709999999997</v>
      </c>
      <c r="Q115" s="104">
        <f t="shared" si="171"/>
        <v>4404.1440000000002</v>
      </c>
      <c r="R115" s="104">
        <f t="shared" ref="R115" si="172">IFERROR(R111+R114,"n.a.")</f>
        <v>4403.8740000000007</v>
      </c>
      <c r="S115" s="104">
        <f>IFERROR(S111+S114,"n.a.")</f>
        <v>4551.8500000000004</v>
      </c>
    </row>
    <row r="116" spans="1:20" x14ac:dyDescent="0.3">
      <c r="B116" s="99"/>
      <c r="C116" s="100"/>
      <c r="D116" s="100"/>
      <c r="E116" s="100"/>
      <c r="F116" s="100"/>
      <c r="G116" s="100"/>
      <c r="H116" s="100"/>
      <c r="I116" s="100"/>
      <c r="J116" s="100"/>
      <c r="K116" s="100"/>
      <c r="L116" s="100"/>
      <c r="M116" s="100"/>
      <c r="N116" s="100"/>
      <c r="O116" s="100"/>
      <c r="P116" s="100"/>
      <c r="Q116" s="100"/>
      <c r="R116" s="100"/>
      <c r="S116" s="100"/>
    </row>
    <row r="117" spans="1:20" s="25" customFormat="1" ht="13" x14ac:dyDescent="0.3">
      <c r="A117" s="103" t="s">
        <v>8</v>
      </c>
      <c r="B117" s="103"/>
      <c r="C117" s="104">
        <f t="shared" ref="C117:J117" si="173">IFERROR(C106+C115,"n.a.")</f>
        <v>14366.460999999999</v>
      </c>
      <c r="D117" s="104">
        <f t="shared" si="173"/>
        <v>12722.817000000001</v>
      </c>
      <c r="E117" s="104">
        <f t="shared" si="173"/>
        <v>12428.679</v>
      </c>
      <c r="F117" s="104">
        <f t="shared" si="173"/>
        <v>12541.577000000001</v>
      </c>
      <c r="G117" s="104">
        <f t="shared" si="173"/>
        <v>12733.915000000001</v>
      </c>
      <c r="H117" s="104">
        <f t="shared" si="173"/>
        <v>12274.004000000001</v>
      </c>
      <c r="I117" s="104">
        <f t="shared" si="173"/>
        <v>12208.703000000001</v>
      </c>
      <c r="J117" s="104">
        <f t="shared" si="173"/>
        <v>12330.761</v>
      </c>
      <c r="K117" s="104">
        <f>IFERROR(K106+K115,"n.a.")</f>
        <v>13031.697</v>
      </c>
      <c r="L117" s="104">
        <f t="shared" ref="L117:M117" si="174">IFERROR(L106+L115,"n.a.")</f>
        <v>13472.983999999999</v>
      </c>
      <c r="M117" s="104">
        <f t="shared" si="174"/>
        <v>13376.152</v>
      </c>
      <c r="N117" s="104">
        <f t="shared" ref="N117" si="175">IFERROR(N106+N115,"n.a.")</f>
        <v>13486.713000000002</v>
      </c>
      <c r="O117" s="104">
        <f>IFERROR(O106+O115,"n.a.")</f>
        <v>13934.454000000002</v>
      </c>
      <c r="P117" s="104">
        <f t="shared" ref="P117:Q117" si="176">IFERROR(P106+P115,"n.a.")</f>
        <v>13092.349999999999</v>
      </c>
      <c r="Q117" s="104">
        <f t="shared" si="176"/>
        <v>13316.492</v>
      </c>
      <c r="R117" s="104">
        <f t="shared" ref="R117" si="177">IFERROR(R106+R115,"n.a.")</f>
        <v>12929.003000000001</v>
      </c>
      <c r="S117" s="104">
        <f>IFERROR(S106+S115,"n.a.")</f>
        <v>13760.016999999998</v>
      </c>
    </row>
    <row r="120" spans="1:20" x14ac:dyDescent="0.3">
      <c r="A120" s="260" t="s">
        <v>203</v>
      </c>
      <c r="B120" s="260"/>
      <c r="C120" s="260"/>
      <c r="D120" s="260"/>
      <c r="E120" s="260"/>
      <c r="F120" s="260"/>
      <c r="G120" s="260"/>
      <c r="H120" s="260"/>
      <c r="I120" s="260"/>
      <c r="J120" s="260"/>
      <c r="K120" s="260"/>
      <c r="L120" s="260"/>
      <c r="M120" s="260"/>
      <c r="N120" s="260"/>
      <c r="O120" s="260"/>
      <c r="P120" s="260"/>
      <c r="Q120" s="260"/>
      <c r="R120" s="260"/>
      <c r="S120" s="260"/>
      <c r="T120" s="260"/>
    </row>
    <row r="121" spans="1:20" x14ac:dyDescent="0.3">
      <c r="A121" s="260" t="s">
        <v>204</v>
      </c>
      <c r="B121" s="260"/>
      <c r="C121" s="260"/>
      <c r="D121" s="260"/>
      <c r="E121" s="260"/>
      <c r="F121" s="260"/>
      <c r="G121" s="260"/>
      <c r="H121" s="260"/>
      <c r="I121" s="260"/>
      <c r="J121" s="260"/>
      <c r="K121" s="260"/>
      <c r="L121" s="260"/>
      <c r="M121" s="260"/>
      <c r="N121" s="260"/>
      <c r="O121" s="260"/>
      <c r="P121" s="260"/>
      <c r="Q121" s="260"/>
      <c r="R121" s="260"/>
      <c r="S121" s="260"/>
      <c r="T121" s="260"/>
    </row>
    <row r="122" spans="1:20" x14ac:dyDescent="0.3">
      <c r="A122" s="260" t="s">
        <v>340</v>
      </c>
      <c r="B122" s="260"/>
      <c r="C122" s="260"/>
      <c r="D122" s="260"/>
      <c r="E122" s="260"/>
      <c r="F122" s="260"/>
      <c r="G122" s="260"/>
      <c r="H122" s="260"/>
      <c r="I122" s="260"/>
      <c r="J122" s="260"/>
      <c r="K122" s="260"/>
      <c r="L122" s="260"/>
      <c r="M122" s="260"/>
      <c r="N122" s="260"/>
      <c r="O122" s="260"/>
      <c r="P122" s="260"/>
      <c r="Q122" s="260"/>
      <c r="R122" s="260"/>
      <c r="S122" s="260"/>
      <c r="T122" s="260"/>
    </row>
    <row r="124" spans="1:20" x14ac:dyDescent="0.3">
      <c r="A124" s="63"/>
    </row>
  </sheetData>
  <mergeCells count="3">
    <mergeCell ref="A120:T120"/>
    <mergeCell ref="A121:T121"/>
    <mergeCell ref="A122:T122"/>
  </mergeCells>
  <pageMargins left="0" right="0" top="0" bottom="0" header="0" footer="0"/>
  <pageSetup paperSize="9" scale="58" orientation="portrait" r:id="rId1"/>
  <ignoredErrors>
    <ignoredError sqref="M36 M40:M4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169BF28A-4231-42DD-8F36-6FAB8278B09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Fin. Highlights - FY</vt:lpstr>
      <vt:lpstr>Fin. Highlights - interim</vt:lpstr>
      <vt:lpstr>Adj. Rev. detail - FY</vt:lpstr>
      <vt:lpstr>Adj. Rev. detail - Interim</vt:lpstr>
      <vt:lpstr>Adj. EBIT bridge - FY</vt:lpstr>
      <vt:lpstr>Adj. EBIT bridge - Interim</vt:lpstr>
      <vt:lpstr>Balance Sheet - FY</vt:lpstr>
      <vt:lpstr>Balance Sheet - Interim</vt:lpstr>
      <vt:lpstr>Cash Flow - FY</vt:lpstr>
      <vt:lpstr>Cash Flow - Interim</vt:lpstr>
      <vt:lpstr>'Adj. EBIT bridge - FY'!Print_Area</vt:lpstr>
      <vt:lpstr>'Adj. EBIT bridge - Interim'!Print_Area</vt:lpstr>
      <vt:lpstr>'Adj. Rev. detail - FY'!Print_Area</vt:lpstr>
      <vt:lpstr>'Adj. Rev. detail - Interim'!Print_Area</vt:lpstr>
      <vt:lpstr>'Balance Sheet - FY'!Print_Area</vt:lpstr>
      <vt:lpstr>'Balance Sheet - Interim'!Print_Area</vt:lpstr>
      <vt:lpstr>'Cash Flow - FY'!Print_Area</vt:lpstr>
      <vt:lpstr>'Cash Flow - Interim'!Print_Area</vt:lpstr>
      <vt:lpstr>Cover!Print_Area</vt:lpstr>
      <vt:lpstr>'Fin. Highlights - FY'!Print_Area</vt:lpstr>
      <vt:lpstr>'Fin. Highlights - interim'!Print_Area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2017-11-03T10:39:37Z</dcterms:created>
  <dcterms:modified xsi:type="dcterms:W3CDTF">2021-04-20T08:09:04Z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08d73297-ea28-4d2c-8707-bf482f3f67bf</vt:lpwstr>
  </property>
  <property fmtid="{D5CDD505-2E9C-101B-9397-08002B2CF9AE}" pid="3" name="Classification">
    <vt:lpwstr>Public - Pirelli Data Classification</vt:lpwstr>
  </property>
  <property fmtid="{D5CDD505-2E9C-101B-9397-08002B2CF9AE}" pid="4" name="docIndexRef">
    <vt:lpwstr>8072b25b-b9f7-4917-b7df-599c0a07ccb6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+nh/eFpDysZnVmvkKPD3m60Re0OuvaNL</vt:lpwstr>
  </property>
  <property fmtid="{D5CDD505-2E9C-101B-9397-08002B2CF9AE}" pid="9" name="_AdHocReviewCycleID">
    <vt:i4>-767019967</vt:i4>
  </property>
  <property fmtid="{D5CDD505-2E9C-101B-9397-08002B2CF9AE}" pid="10" name="_NewReviewCycle">
    <vt:lpwstr/>
  </property>
  <property fmtid="{D5CDD505-2E9C-101B-9397-08002B2CF9AE}" pid="11" name="SV_QUERY_LIST_4F35BF76-6C0D-4D9B-82B2-816C12CF3733">
    <vt:lpwstr>empty_477D106A-C0D6-4607-AEBD-E2C9D60EA279</vt:lpwstr>
  </property>
  <property fmtid="{D5CDD505-2E9C-101B-9397-08002B2CF9AE}" pid="12" name="_PreviousAdHocReviewCycleID">
    <vt:i4>-1756784316</vt:i4>
  </property>
</Properties>
</file>