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59" documentId="8_{E653D135-6EB6-4336-9B60-B3C2B1655C5F}" xr6:coauthVersionLast="47" xr6:coauthVersionMax="47" xr10:uidLastSave="{04262834-2179-4536-8B2C-B13DC321EBDF}"/>
  <bookViews>
    <workbookView xWindow="-120" yWindow="-120" windowWidth="29040" windowHeight="15840" tabRatio="938" xr2:uid="{00000000-000D-0000-FFFF-FFFF00000000}"/>
  </bookViews>
  <sheets>
    <sheet name="Cover" sheetId="7" r:id="rId1"/>
    <sheet name="Fin. Highlights - FY" sheetId="6" r:id="rId2"/>
    <sheet name="Fin. Highlights - Interim" sheetId="12" r:id="rId3"/>
    <sheet name="Adj. Rev. detail - FY" sheetId="9" r:id="rId4"/>
    <sheet name="Adj. Rev. detail - Interim" sheetId="13" r:id="rId5"/>
    <sheet name="Adj. EBIT bridge - FY" sheetId="10" r:id="rId6"/>
    <sheet name="Adj. EBIT bridge - Interim" sheetId="15" r:id="rId7"/>
    <sheet name="Balance Sheet - FY" sheetId="1" r:id="rId8"/>
    <sheet name="Balance Sheet - Interim" sheetId="16" r:id="rId9"/>
    <sheet name="Cash Flow - FY" sheetId="11" r:id="rId10"/>
    <sheet name="Cash Flow - Interim" sheetId="17" r:id="rId11"/>
  </sheets>
  <definedNames>
    <definedName name="CIQWBGuid" hidden="1">"c5546008-19d1-4a42-bf22-4315ada62b00"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"07/20/2023 15:00:50"</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5">'Adj. EBIT bridge - FY'!$A$1:$K$27</definedName>
    <definedName name="_xlnm.Print_Area" localSheetId="6">'Adj. EBIT bridge - Interim'!$A$1:$AM$27</definedName>
    <definedName name="_xlnm.Print_Area" localSheetId="3">'Adj. Rev. detail - FY'!$A$1:$L$72</definedName>
    <definedName name="_xlnm.Print_Area" localSheetId="4">'Adj. Rev. detail - Interim'!$A$1:$AT$69</definedName>
    <definedName name="_xlnm.Print_Area" localSheetId="7">'Balance Sheet - FY'!$A$1:$L$122</definedName>
    <definedName name="_xlnm.Print_Area" localSheetId="8">'Balance Sheet - Interim'!$A$1:$X$122</definedName>
    <definedName name="_xlnm.Print_Area" localSheetId="9">'Cash Flow - FY'!$A$1:$L$122</definedName>
    <definedName name="_xlnm.Print_Area" localSheetId="10">'Cash Flow - Interim'!$A$1:$AB$123</definedName>
    <definedName name="_xlnm.Print_Area" localSheetId="0">Cover!$A$1:$L$46</definedName>
    <definedName name="_xlnm.Print_Area" localSheetId="1">'Fin. Highlights - FY'!$A$1:$L$67</definedName>
    <definedName name="_xlnm.Print_Area" localSheetId="2">'Fin. Highlights - Interim'!$A$1:$AS$55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77" i="17" l="1"/>
  <c r="AD38" i="16" l="1"/>
  <c r="AD37" i="16"/>
  <c r="AD101" i="16"/>
  <c r="AD102" i="16" s="1"/>
  <c r="AD67" i="16" l="1"/>
  <c r="AD56" i="16"/>
  <c r="AD26" i="16" s="1"/>
  <c r="AD18" i="16" l="1"/>
  <c r="AG8" i="17" l="1"/>
  <c r="AG12" i="17"/>
  <c r="AG13" i="17"/>
  <c r="AG48" i="17"/>
  <c r="AG25" i="17"/>
  <c r="AG14" i="17"/>
  <c r="AG110" i="17" l="1"/>
  <c r="AG79" i="17"/>
  <c r="AG98" i="17" s="1"/>
  <c r="AG72" i="17"/>
  <c r="AG69" i="17"/>
  <c r="AG53" i="17"/>
  <c r="AG52" i="17"/>
  <c r="AF52" i="17"/>
  <c r="AG7" i="17" l="1"/>
  <c r="AG11" i="17" s="1"/>
  <c r="AG5" i="17"/>
  <c r="AG49" i="17" s="1"/>
  <c r="AG15" i="17" l="1"/>
  <c r="AG18" i="17" s="1"/>
  <c r="AG27" i="17" s="1"/>
  <c r="AD20" i="16"/>
  <c r="BD43" i="12"/>
  <c r="AV23" i="15" l="1"/>
  <c r="AV21" i="15"/>
  <c r="AV19" i="15"/>
  <c r="AV17" i="15"/>
  <c r="AV13" i="15"/>
  <c r="AV11" i="15"/>
  <c r="AV9" i="15"/>
  <c r="BD43" i="13" l="1"/>
  <c r="BD42" i="13"/>
  <c r="BD36" i="13"/>
  <c r="BD28" i="13" s="1"/>
  <c r="BD19" i="13"/>
  <c r="BD18" i="13"/>
  <c r="BD15" i="13"/>
  <c r="BC43" i="13"/>
  <c r="BC42" i="13"/>
  <c r="BC36" i="13"/>
  <c r="BC28" i="13" s="1"/>
  <c r="BC19" i="13"/>
  <c r="BC18" i="13"/>
  <c r="BC15" i="13"/>
  <c r="BD31" i="13" l="1"/>
  <c r="BD34" i="13"/>
  <c r="BD38" i="13"/>
  <c r="BD39" i="13"/>
  <c r="BD22" i="13"/>
  <c r="BD63" i="13"/>
  <c r="BD25" i="13"/>
  <c r="BC31" i="13"/>
  <c r="BC34" i="13"/>
  <c r="BC38" i="13"/>
  <c r="BC39" i="13"/>
  <c r="BC22" i="13"/>
  <c r="BC63" i="13"/>
  <c r="BC25" i="13"/>
  <c r="BD66" i="13" l="1"/>
  <c r="BD46" i="13"/>
  <c r="BD65" i="13"/>
  <c r="BD61" i="13"/>
  <c r="BD55" i="13"/>
  <c r="BD58" i="13"/>
  <c r="BD52" i="13"/>
  <c r="BD49" i="13"/>
  <c r="BC66" i="13"/>
  <c r="BC46" i="13"/>
  <c r="BC65" i="13"/>
  <c r="BC61" i="13"/>
  <c r="BC58" i="13"/>
  <c r="BC55" i="13"/>
  <c r="BC52" i="13"/>
  <c r="BC49" i="13"/>
  <c r="AD24" i="16" l="1"/>
  <c r="AD76" i="16"/>
  <c r="AD114" i="16"/>
  <c r="AD111" i="16"/>
  <c r="AD104" i="16"/>
  <c r="AD92" i="16"/>
  <c r="AD93" i="16" s="1"/>
  <c r="AD81" i="16"/>
  <c r="AD61" i="16"/>
  <c r="AD63" i="16" s="1"/>
  <c r="AD45" i="16"/>
  <c r="AD44" i="16"/>
  <c r="AD33" i="16"/>
  <c r="AD29" i="16"/>
  <c r="AD23" i="16"/>
  <c r="AD22" i="16"/>
  <c r="AD25" i="16" s="1"/>
  <c r="AD19" i="16"/>
  <c r="AD16" i="16"/>
  <c r="AD13" i="16"/>
  <c r="AD12" i="16"/>
  <c r="BC45" i="12"/>
  <c r="BC44" i="12"/>
  <c r="BC41" i="12"/>
  <c r="BC39" i="12"/>
  <c r="BC36" i="12"/>
  <c r="BC35" i="12"/>
  <c r="BD31" i="12"/>
  <c r="BD38" i="12" s="1"/>
  <c r="BC27" i="12"/>
  <c r="BC26" i="12"/>
  <c r="BD25" i="12"/>
  <c r="BC24" i="12"/>
  <c r="BC22" i="12"/>
  <c r="BD21" i="12"/>
  <c r="BC19" i="12"/>
  <c r="BD17" i="12"/>
  <c r="BD15" i="12"/>
  <c r="BC14" i="12"/>
  <c r="BD12" i="12"/>
  <c r="BC11" i="12"/>
  <c r="BD9" i="12"/>
  <c r="BC8" i="12"/>
  <c r="BC7" i="12"/>
  <c r="C7" i="17"/>
  <c r="C11" i="17" s="1"/>
  <c r="D7" i="17"/>
  <c r="D11" i="17" s="1"/>
  <c r="E7" i="17"/>
  <c r="E11" i="17" s="1"/>
  <c r="G7" i="17"/>
  <c r="G11" i="17" s="1"/>
  <c r="H7" i="17"/>
  <c r="H11" i="17" s="1"/>
  <c r="I7" i="17"/>
  <c r="I11" i="17" s="1"/>
  <c r="K7" i="17"/>
  <c r="K11" i="17" s="1"/>
  <c r="L7" i="17"/>
  <c r="L11" i="17" s="1"/>
  <c r="M7" i="17"/>
  <c r="O7" i="17"/>
  <c r="P7" i="17"/>
  <c r="Q7" i="17"/>
  <c r="S7" i="17"/>
  <c r="T7" i="17"/>
  <c r="U7" i="17"/>
  <c r="W7" i="17"/>
  <c r="W11" i="17" s="1"/>
  <c r="X7" i="17"/>
  <c r="Y7" i="17"/>
  <c r="AA7" i="17"/>
  <c r="AB7" i="17"/>
  <c r="AC7" i="17"/>
  <c r="AE7" i="17"/>
  <c r="AF7" i="17"/>
  <c r="F8" i="17"/>
  <c r="N77" i="17"/>
  <c r="N8" i="17" s="1"/>
  <c r="N82" i="17"/>
  <c r="O8" i="17"/>
  <c r="P8" i="17"/>
  <c r="Q8" i="17"/>
  <c r="R77" i="17"/>
  <c r="R82" i="17"/>
  <c r="S8" i="17"/>
  <c r="T8" i="17"/>
  <c r="U8" i="17"/>
  <c r="V77" i="17"/>
  <c r="V82" i="17"/>
  <c r="W8" i="17"/>
  <c r="X8" i="17"/>
  <c r="Y8" i="17"/>
  <c r="Z77" i="17"/>
  <c r="Z82" i="17"/>
  <c r="AA8" i="17"/>
  <c r="AB8" i="17"/>
  <c r="AC8" i="17"/>
  <c r="AD77" i="17"/>
  <c r="AD82" i="17"/>
  <c r="AE8" i="17"/>
  <c r="AF8" i="17"/>
  <c r="F9" i="17"/>
  <c r="J9" i="17"/>
  <c r="N9" i="17"/>
  <c r="R9" i="17"/>
  <c r="V9" i="17"/>
  <c r="Z9" i="17"/>
  <c r="AD9" i="17"/>
  <c r="F10" i="17"/>
  <c r="J10" i="17"/>
  <c r="N10" i="17"/>
  <c r="R10" i="17"/>
  <c r="V10" i="17"/>
  <c r="Z10" i="17"/>
  <c r="AD10" i="17"/>
  <c r="M11" i="17"/>
  <c r="C12" i="17"/>
  <c r="D12" i="17"/>
  <c r="E12" i="17"/>
  <c r="G12" i="17"/>
  <c r="K12" i="17"/>
  <c r="L12" i="17"/>
  <c r="M12" i="17"/>
  <c r="N65" i="17"/>
  <c r="N12" i="17" s="1"/>
  <c r="O12" i="17"/>
  <c r="P12" i="17"/>
  <c r="Q12" i="17"/>
  <c r="R65" i="17"/>
  <c r="R12" i="17" s="1"/>
  <c r="S12" i="17"/>
  <c r="T12" i="17"/>
  <c r="U12" i="17"/>
  <c r="V65" i="17"/>
  <c r="V12" i="17" s="1"/>
  <c r="W12" i="17"/>
  <c r="X12" i="17"/>
  <c r="Y12" i="17"/>
  <c r="AA12" i="17"/>
  <c r="AB12" i="17"/>
  <c r="AC12" i="17"/>
  <c r="AE12" i="17"/>
  <c r="AF12" i="17"/>
  <c r="C13" i="17"/>
  <c r="D13" i="17"/>
  <c r="E13" i="17"/>
  <c r="G13" i="17"/>
  <c r="H13" i="17"/>
  <c r="I13" i="17"/>
  <c r="K13" i="17"/>
  <c r="L13" i="17"/>
  <c r="M13" i="17"/>
  <c r="O56" i="17"/>
  <c r="O13" i="17" s="1"/>
  <c r="P13" i="17"/>
  <c r="S56" i="17"/>
  <c r="S13" i="17" s="1"/>
  <c r="T56" i="17"/>
  <c r="T13" i="17" s="1"/>
  <c r="U56" i="17"/>
  <c r="U13" i="17" s="1"/>
  <c r="V56" i="17"/>
  <c r="V13" i="17" s="1"/>
  <c r="W13" i="17"/>
  <c r="X13" i="17"/>
  <c r="Y13" i="17"/>
  <c r="AA13" i="17"/>
  <c r="AB13" i="17"/>
  <c r="AC13" i="17"/>
  <c r="AE13" i="17"/>
  <c r="AF13" i="17"/>
  <c r="F14" i="17"/>
  <c r="J14" i="17"/>
  <c r="N14" i="17"/>
  <c r="R14" i="17"/>
  <c r="V14" i="17"/>
  <c r="Z14" i="17"/>
  <c r="AD14" i="17"/>
  <c r="AF14" i="17"/>
  <c r="O16" i="17"/>
  <c r="P16" i="17"/>
  <c r="Q16" i="17"/>
  <c r="V16" i="17"/>
  <c r="Z16" i="17"/>
  <c r="AD16" i="17"/>
  <c r="J17" i="17"/>
  <c r="N17" i="17"/>
  <c r="R17" i="17"/>
  <c r="V17" i="17"/>
  <c r="Z17" i="17"/>
  <c r="AD17" i="17"/>
  <c r="R22" i="17"/>
  <c r="V22" i="17"/>
  <c r="Z22" i="17"/>
  <c r="AD22" i="17"/>
  <c r="R23" i="17"/>
  <c r="V23" i="17"/>
  <c r="Z23" i="17"/>
  <c r="AD23" i="17"/>
  <c r="AD25" i="17" s="1"/>
  <c r="R24" i="17"/>
  <c r="V24" i="17"/>
  <c r="Z24" i="17"/>
  <c r="AD24" i="17"/>
  <c r="C25" i="17"/>
  <c r="C26" i="17" s="1"/>
  <c r="D25" i="17"/>
  <c r="E25" i="17"/>
  <c r="E26" i="17" s="1"/>
  <c r="F25" i="17"/>
  <c r="F26" i="17" s="1"/>
  <c r="G25" i="17"/>
  <c r="H25" i="17"/>
  <c r="I25" i="17"/>
  <c r="J25" i="17"/>
  <c r="K25" i="17"/>
  <c r="L25" i="17"/>
  <c r="M25" i="17"/>
  <c r="O25" i="17"/>
  <c r="P25" i="17"/>
  <c r="Q25" i="17"/>
  <c r="S25" i="17"/>
  <c r="T25" i="17"/>
  <c r="U25" i="17"/>
  <c r="W25" i="17"/>
  <c r="X25" i="17"/>
  <c r="Y25" i="17"/>
  <c r="AA25" i="17"/>
  <c r="AB25" i="17"/>
  <c r="AC25" i="17"/>
  <c r="AE25" i="17"/>
  <c r="AF25" i="17"/>
  <c r="D26" i="17"/>
  <c r="F28" i="17"/>
  <c r="J28" i="17"/>
  <c r="N28" i="17"/>
  <c r="R28" i="17"/>
  <c r="V28" i="17"/>
  <c r="Z28" i="17"/>
  <c r="AD28" i="17"/>
  <c r="F29" i="17"/>
  <c r="J29" i="17"/>
  <c r="N29" i="17"/>
  <c r="R29" i="17"/>
  <c r="V29" i="17"/>
  <c r="Z29" i="17"/>
  <c r="AD29" i="17"/>
  <c r="F30" i="17"/>
  <c r="J30" i="17"/>
  <c r="N30" i="17"/>
  <c r="R30" i="17"/>
  <c r="V30" i="17"/>
  <c r="Z30" i="17"/>
  <c r="AD30" i="17"/>
  <c r="F31" i="17"/>
  <c r="J31" i="17"/>
  <c r="N31" i="17"/>
  <c r="R31" i="17"/>
  <c r="V31" i="17"/>
  <c r="Z31" i="17"/>
  <c r="AD31" i="17"/>
  <c r="F32" i="17"/>
  <c r="J32" i="17"/>
  <c r="N32" i="17"/>
  <c r="R32" i="17"/>
  <c r="V32" i="17"/>
  <c r="Z32" i="17"/>
  <c r="AD32" i="17"/>
  <c r="F33" i="17"/>
  <c r="J33" i="17"/>
  <c r="N33" i="17"/>
  <c r="R33" i="17"/>
  <c r="V33" i="17"/>
  <c r="Z33" i="17"/>
  <c r="AD33" i="17"/>
  <c r="F34" i="17"/>
  <c r="J34" i="17"/>
  <c r="N34" i="17"/>
  <c r="R34" i="17"/>
  <c r="V34" i="17"/>
  <c r="Z34" i="17"/>
  <c r="AD34" i="17"/>
  <c r="F35" i="17"/>
  <c r="J35" i="17"/>
  <c r="N35" i="17"/>
  <c r="R35" i="17"/>
  <c r="V35" i="17"/>
  <c r="Z35" i="17"/>
  <c r="AD35" i="17"/>
  <c r="F36" i="17"/>
  <c r="J36" i="17"/>
  <c r="N36" i="17"/>
  <c r="R36" i="17"/>
  <c r="V36" i="17"/>
  <c r="Z36" i="17"/>
  <c r="AD36" i="17"/>
  <c r="F37" i="17"/>
  <c r="J37" i="17"/>
  <c r="N37" i="17"/>
  <c r="R37" i="17"/>
  <c r="V37" i="17"/>
  <c r="Z37" i="17"/>
  <c r="AD37" i="17"/>
  <c r="F38" i="17"/>
  <c r="J38" i="17"/>
  <c r="N38" i="17"/>
  <c r="R38" i="17"/>
  <c r="V38" i="17"/>
  <c r="Z38" i="17"/>
  <c r="AD38" i="17"/>
  <c r="F39" i="17"/>
  <c r="J39" i="17"/>
  <c r="N39" i="17"/>
  <c r="R39" i="17"/>
  <c r="V39" i="17"/>
  <c r="Z39" i="17"/>
  <c r="AD39" i="17"/>
  <c r="C40" i="17"/>
  <c r="D40" i="17"/>
  <c r="E40" i="17"/>
  <c r="G40" i="17"/>
  <c r="H40" i="17"/>
  <c r="I40" i="17"/>
  <c r="Z40" i="17"/>
  <c r="AD40" i="17"/>
  <c r="F41" i="17"/>
  <c r="J41" i="17"/>
  <c r="N41" i="17"/>
  <c r="R41" i="17"/>
  <c r="V41" i="17"/>
  <c r="Z41" i="17"/>
  <c r="AD41" i="17"/>
  <c r="F43" i="17"/>
  <c r="J43" i="17"/>
  <c r="N43" i="17"/>
  <c r="R43" i="17"/>
  <c r="V43" i="17"/>
  <c r="Z43" i="17"/>
  <c r="AD43" i="17"/>
  <c r="F44" i="17"/>
  <c r="J44" i="17"/>
  <c r="N44" i="17"/>
  <c r="R44" i="17"/>
  <c r="V44" i="17"/>
  <c r="Z44" i="17"/>
  <c r="AD44" i="17"/>
  <c r="C48" i="17"/>
  <c r="D48" i="17"/>
  <c r="E48" i="17"/>
  <c r="F48" i="17"/>
  <c r="G48" i="17"/>
  <c r="H48" i="17"/>
  <c r="I48" i="17"/>
  <c r="J48" i="17"/>
  <c r="K48" i="17"/>
  <c r="L48" i="17"/>
  <c r="M48" i="17"/>
  <c r="N48" i="17"/>
  <c r="O48" i="17"/>
  <c r="P48" i="17"/>
  <c r="Q48" i="17"/>
  <c r="R48" i="17"/>
  <c r="S48" i="17"/>
  <c r="T48" i="17"/>
  <c r="U48" i="17"/>
  <c r="V48" i="17"/>
  <c r="W48" i="17"/>
  <c r="X48" i="17"/>
  <c r="Y48" i="17"/>
  <c r="Z48" i="17"/>
  <c r="AA48" i="17"/>
  <c r="AB48" i="17"/>
  <c r="AC48" i="17"/>
  <c r="AD48" i="17"/>
  <c r="AE48" i="17"/>
  <c r="AF48" i="17"/>
  <c r="C49" i="17"/>
  <c r="D49" i="17"/>
  <c r="E49" i="17"/>
  <c r="F49" i="17"/>
  <c r="G49" i="17"/>
  <c r="H49" i="17"/>
  <c r="I49" i="17"/>
  <c r="J49" i="17"/>
  <c r="K49" i="17"/>
  <c r="L49" i="17"/>
  <c r="M49" i="17"/>
  <c r="N49" i="17"/>
  <c r="O49" i="17"/>
  <c r="P49" i="17"/>
  <c r="Q49" i="17"/>
  <c r="R49" i="17"/>
  <c r="S49" i="17"/>
  <c r="T49" i="17"/>
  <c r="U49" i="17"/>
  <c r="V49" i="17"/>
  <c r="W49" i="17"/>
  <c r="X49" i="17"/>
  <c r="Y49" i="17"/>
  <c r="Z49" i="17"/>
  <c r="AA49" i="17"/>
  <c r="AB49" i="17"/>
  <c r="AC49" i="17"/>
  <c r="AD49" i="17"/>
  <c r="AE49" i="17"/>
  <c r="AF49" i="17"/>
  <c r="C52" i="17"/>
  <c r="D52" i="17"/>
  <c r="E52" i="17"/>
  <c r="G52" i="17"/>
  <c r="H52" i="17"/>
  <c r="I52" i="17"/>
  <c r="J52" i="17"/>
  <c r="K52" i="17"/>
  <c r="L52" i="17"/>
  <c r="M52" i="17"/>
  <c r="O52" i="17"/>
  <c r="P52" i="17"/>
  <c r="Q52" i="17"/>
  <c r="S52" i="17"/>
  <c r="T52" i="17"/>
  <c r="U52" i="17"/>
  <c r="W52" i="17"/>
  <c r="X52" i="17"/>
  <c r="Y52" i="17"/>
  <c r="AA52" i="17"/>
  <c r="AB52" i="17"/>
  <c r="AC52" i="17"/>
  <c r="AE52" i="17"/>
  <c r="C53" i="17"/>
  <c r="D53" i="17"/>
  <c r="E53" i="17"/>
  <c r="G53" i="17"/>
  <c r="H53" i="17"/>
  <c r="I53" i="17"/>
  <c r="J53" i="17"/>
  <c r="K53" i="17"/>
  <c r="L53" i="17"/>
  <c r="M53" i="17"/>
  <c r="O53" i="17"/>
  <c r="P53" i="17"/>
  <c r="Q53" i="17"/>
  <c r="S53" i="17"/>
  <c r="U53" i="17"/>
  <c r="W53" i="17"/>
  <c r="X53" i="17"/>
  <c r="Y53" i="17"/>
  <c r="AA53" i="17"/>
  <c r="AB53" i="17"/>
  <c r="AC53" i="17"/>
  <c r="AE53" i="17"/>
  <c r="AF53" i="17"/>
  <c r="F55" i="17"/>
  <c r="J55" i="17"/>
  <c r="N55" i="17"/>
  <c r="R55" i="17"/>
  <c r="V55" i="17"/>
  <c r="Z55" i="17"/>
  <c r="AD55" i="17"/>
  <c r="C56" i="17"/>
  <c r="D56" i="17"/>
  <c r="E56" i="17"/>
  <c r="F57" i="17"/>
  <c r="F58" i="17"/>
  <c r="G56" i="17"/>
  <c r="H56" i="17"/>
  <c r="I56" i="17"/>
  <c r="J57" i="17"/>
  <c r="J58" i="17"/>
  <c r="K56" i="17"/>
  <c r="L56" i="17"/>
  <c r="M56" i="17"/>
  <c r="N57" i="17"/>
  <c r="N58" i="17"/>
  <c r="P56" i="17"/>
  <c r="Q56" i="17"/>
  <c r="R57" i="17"/>
  <c r="R58" i="17"/>
  <c r="Z56" i="17"/>
  <c r="AD56" i="17"/>
  <c r="V57" i="17"/>
  <c r="Z57" i="17"/>
  <c r="AD57" i="17"/>
  <c r="V58" i="17"/>
  <c r="Z58" i="17"/>
  <c r="AD58" i="17"/>
  <c r="F59" i="17"/>
  <c r="J59" i="17"/>
  <c r="N59" i="17"/>
  <c r="R59" i="17"/>
  <c r="V59" i="17"/>
  <c r="Z59" i="17"/>
  <c r="AD59" i="17"/>
  <c r="F60" i="17"/>
  <c r="J60" i="17"/>
  <c r="N60" i="17"/>
  <c r="R60" i="17"/>
  <c r="V60" i="17"/>
  <c r="Z60" i="17"/>
  <c r="AD60" i="17"/>
  <c r="F61" i="17"/>
  <c r="J61" i="17"/>
  <c r="N61" i="17"/>
  <c r="R61" i="17"/>
  <c r="V61" i="17"/>
  <c r="Z61" i="17"/>
  <c r="AD61" i="17"/>
  <c r="F62" i="17"/>
  <c r="J62" i="17"/>
  <c r="N62" i="17"/>
  <c r="R62" i="17"/>
  <c r="V62" i="17"/>
  <c r="Z62" i="17"/>
  <c r="AD62" i="17"/>
  <c r="F64" i="17"/>
  <c r="J64" i="17"/>
  <c r="N64" i="17"/>
  <c r="R64" i="17"/>
  <c r="V64" i="17"/>
  <c r="Z64" i="17"/>
  <c r="AD64" i="17"/>
  <c r="F65" i="17"/>
  <c r="J65" i="17"/>
  <c r="Z65" i="17"/>
  <c r="AD65" i="17"/>
  <c r="F66" i="17"/>
  <c r="J66" i="17"/>
  <c r="N66" i="17"/>
  <c r="R66" i="17"/>
  <c r="V66" i="17"/>
  <c r="Z66" i="17"/>
  <c r="AD66" i="17"/>
  <c r="F67" i="17"/>
  <c r="J67" i="17"/>
  <c r="N67" i="17"/>
  <c r="R67" i="17"/>
  <c r="V67" i="17"/>
  <c r="Z67" i="17"/>
  <c r="AD67" i="17"/>
  <c r="F68" i="17"/>
  <c r="J68" i="17"/>
  <c r="N68" i="17"/>
  <c r="R68" i="17"/>
  <c r="V68" i="17"/>
  <c r="Z68" i="17"/>
  <c r="AD68" i="17"/>
  <c r="F69" i="17"/>
  <c r="J69" i="17"/>
  <c r="N69" i="17"/>
  <c r="P69" i="17"/>
  <c r="Q69" i="17"/>
  <c r="R70" i="17"/>
  <c r="R71" i="17"/>
  <c r="S69" i="17"/>
  <c r="T69" i="17"/>
  <c r="U69" i="17"/>
  <c r="V70" i="17"/>
  <c r="V71" i="17"/>
  <c r="W69" i="17"/>
  <c r="X69" i="17"/>
  <c r="Y69" i="17"/>
  <c r="Z70" i="17"/>
  <c r="Z69" i="17" s="1"/>
  <c r="Z71" i="17"/>
  <c r="AA69" i="17"/>
  <c r="AB69" i="17"/>
  <c r="AC69" i="17"/>
  <c r="AD70" i="17"/>
  <c r="AD69" i="17" s="1"/>
  <c r="AD71" i="17"/>
  <c r="AE69" i="17"/>
  <c r="AF69" i="17"/>
  <c r="F70" i="17"/>
  <c r="J70" i="17"/>
  <c r="N70" i="17"/>
  <c r="F71" i="17"/>
  <c r="J71" i="17"/>
  <c r="N71" i="17"/>
  <c r="F72" i="17"/>
  <c r="J72" i="17"/>
  <c r="N72" i="17"/>
  <c r="R73" i="17"/>
  <c r="R74" i="17"/>
  <c r="S72" i="17"/>
  <c r="T72" i="17"/>
  <c r="U72" i="17"/>
  <c r="V73" i="17"/>
  <c r="V74" i="17"/>
  <c r="W72" i="17"/>
  <c r="X72" i="17"/>
  <c r="Y72" i="17"/>
  <c r="Z73" i="17"/>
  <c r="Z74" i="17"/>
  <c r="AA72" i="17"/>
  <c r="AB72" i="17"/>
  <c r="AC72" i="17"/>
  <c r="AD73" i="17"/>
  <c r="AD74" i="17"/>
  <c r="AE72" i="17"/>
  <c r="AF72" i="17"/>
  <c r="F73" i="17"/>
  <c r="J73" i="17"/>
  <c r="N73" i="17"/>
  <c r="F74" i="17"/>
  <c r="J74" i="17"/>
  <c r="N74" i="17"/>
  <c r="F77" i="17"/>
  <c r="J77" i="17"/>
  <c r="F78" i="17"/>
  <c r="J78" i="17"/>
  <c r="N78" i="17"/>
  <c r="R78" i="17"/>
  <c r="V78" i="17"/>
  <c r="Z78" i="17"/>
  <c r="AC78" i="17"/>
  <c r="AC98" i="17" s="1"/>
  <c r="AD78" i="17"/>
  <c r="F79" i="17"/>
  <c r="J79" i="17"/>
  <c r="N79" i="17"/>
  <c r="R80" i="17"/>
  <c r="R81" i="17"/>
  <c r="S79" i="17"/>
  <c r="T79" i="17"/>
  <c r="U79" i="17"/>
  <c r="V80" i="17"/>
  <c r="V81" i="17"/>
  <c r="W79" i="17"/>
  <c r="W98" i="17" s="1"/>
  <c r="X79" i="17"/>
  <c r="X98" i="17" s="1"/>
  <c r="Y79" i="17"/>
  <c r="Y98" i="17" s="1"/>
  <c r="Z80" i="17"/>
  <c r="Z81" i="17"/>
  <c r="AA79" i="17"/>
  <c r="AA98" i="17" s="1"/>
  <c r="AB79" i="17"/>
  <c r="AB98" i="17" s="1"/>
  <c r="AC79" i="17"/>
  <c r="AD80" i="17"/>
  <c r="AD79" i="17" s="1"/>
  <c r="AD81" i="17"/>
  <c r="AE79" i="17"/>
  <c r="AE98" i="17" s="1"/>
  <c r="AF79" i="17"/>
  <c r="AF98" i="17" s="1"/>
  <c r="F80" i="17"/>
  <c r="J80" i="17"/>
  <c r="N80" i="17"/>
  <c r="F81" i="17"/>
  <c r="J81" i="17"/>
  <c r="N81" i="17"/>
  <c r="F82" i="17"/>
  <c r="J82" i="17"/>
  <c r="F83" i="17"/>
  <c r="J83" i="17"/>
  <c r="N83" i="17"/>
  <c r="R83" i="17"/>
  <c r="V83" i="17"/>
  <c r="Z83" i="17"/>
  <c r="AD83" i="17"/>
  <c r="F84" i="17"/>
  <c r="J84" i="17"/>
  <c r="N84" i="17"/>
  <c r="R84" i="17"/>
  <c r="V84" i="17"/>
  <c r="Z84" i="17"/>
  <c r="AD84" i="17"/>
  <c r="F85" i="17"/>
  <c r="J85" i="17"/>
  <c r="N85" i="17"/>
  <c r="R85" i="17"/>
  <c r="V85" i="17"/>
  <c r="Z85" i="17"/>
  <c r="AD85" i="17"/>
  <c r="F86" i="17"/>
  <c r="J86" i="17"/>
  <c r="N86" i="17"/>
  <c r="R86" i="17"/>
  <c r="V86" i="17"/>
  <c r="Z86" i="17"/>
  <c r="AD86" i="17"/>
  <c r="F87" i="17"/>
  <c r="J87" i="17"/>
  <c r="N87" i="17"/>
  <c r="R87" i="17"/>
  <c r="V87" i="17"/>
  <c r="Z87" i="17"/>
  <c r="AD87" i="17"/>
  <c r="F88" i="17"/>
  <c r="J88" i="17"/>
  <c r="N88" i="17"/>
  <c r="R88" i="17"/>
  <c r="V88" i="17"/>
  <c r="Z88" i="17"/>
  <c r="AD88" i="17"/>
  <c r="F89" i="17"/>
  <c r="J89" i="17"/>
  <c r="N89" i="17"/>
  <c r="R89" i="17"/>
  <c r="V89" i="17"/>
  <c r="Z89" i="17"/>
  <c r="AD89" i="17"/>
  <c r="F90" i="17"/>
  <c r="J90" i="17"/>
  <c r="N90" i="17"/>
  <c r="R90" i="17"/>
  <c r="V90" i="17"/>
  <c r="Z90" i="17"/>
  <c r="AD90" i="17"/>
  <c r="F91" i="17"/>
  <c r="J91" i="17"/>
  <c r="N91" i="17"/>
  <c r="R91" i="17"/>
  <c r="V91" i="17"/>
  <c r="Z91" i="17"/>
  <c r="AD91" i="17"/>
  <c r="F92" i="17"/>
  <c r="J92" i="17"/>
  <c r="N92" i="17"/>
  <c r="R92" i="17"/>
  <c r="V92" i="17"/>
  <c r="Z92" i="17"/>
  <c r="AD92" i="17"/>
  <c r="F93" i="17"/>
  <c r="J93" i="17"/>
  <c r="N93" i="17"/>
  <c r="R93" i="17"/>
  <c r="V93" i="17"/>
  <c r="Z93" i="17"/>
  <c r="AD93" i="17"/>
  <c r="C94" i="17"/>
  <c r="C98" i="17" s="1"/>
  <c r="D94" i="17"/>
  <c r="D98" i="17" s="1"/>
  <c r="E94" i="17"/>
  <c r="E98" i="17" s="1"/>
  <c r="F95" i="17"/>
  <c r="F96" i="17"/>
  <c r="G94" i="17"/>
  <c r="G98" i="17" s="1"/>
  <c r="H94" i="17"/>
  <c r="H98" i="17" s="1"/>
  <c r="I94" i="17"/>
  <c r="I98" i="17" s="1"/>
  <c r="J95" i="17"/>
  <c r="J96" i="17"/>
  <c r="K94" i="17"/>
  <c r="K98" i="17" s="1"/>
  <c r="L96" i="17"/>
  <c r="L94" i="17" s="1"/>
  <c r="L98" i="17" s="1"/>
  <c r="M96" i="17"/>
  <c r="M94" i="17"/>
  <c r="M98" i="17" s="1"/>
  <c r="N95" i="17"/>
  <c r="N96" i="17"/>
  <c r="O94" i="17"/>
  <c r="O98" i="17" s="1"/>
  <c r="P94" i="17"/>
  <c r="P98" i="17" s="1"/>
  <c r="Q94" i="17"/>
  <c r="Q98" i="17" s="1"/>
  <c r="R95" i="17"/>
  <c r="R96" i="17"/>
  <c r="S94" i="17"/>
  <c r="T94" i="17"/>
  <c r="U94" i="17"/>
  <c r="V94" i="17"/>
  <c r="Z94" i="17"/>
  <c r="AD94" i="17"/>
  <c r="V95" i="17"/>
  <c r="Z95" i="17"/>
  <c r="AD95" i="17"/>
  <c r="V96" i="17"/>
  <c r="Z96" i="17"/>
  <c r="AD96" i="17"/>
  <c r="F97" i="17"/>
  <c r="J97" i="17"/>
  <c r="N97" i="17"/>
  <c r="R97" i="17"/>
  <c r="V97" i="17"/>
  <c r="Z97" i="17"/>
  <c r="AD97" i="17"/>
  <c r="F100" i="17"/>
  <c r="J100" i="17"/>
  <c r="N100" i="17"/>
  <c r="R100" i="17"/>
  <c r="V100" i="17"/>
  <c r="Z100" i="17"/>
  <c r="AD100" i="17"/>
  <c r="F101" i="17"/>
  <c r="J101" i="17"/>
  <c r="N101" i="17"/>
  <c r="R101" i="17"/>
  <c r="V101" i="17"/>
  <c r="Z101" i="17"/>
  <c r="AD101" i="17"/>
  <c r="F102" i="17"/>
  <c r="J102" i="17"/>
  <c r="N102" i="17"/>
  <c r="R102" i="17"/>
  <c r="V102" i="17"/>
  <c r="Z102" i="17"/>
  <c r="AD102" i="17"/>
  <c r="F103" i="17"/>
  <c r="J103" i="17"/>
  <c r="N103" i="17"/>
  <c r="R103" i="17"/>
  <c r="V103" i="17"/>
  <c r="Z103" i="17"/>
  <c r="AD103" i="17"/>
  <c r="F104" i="17"/>
  <c r="J104" i="17"/>
  <c r="N104" i="17"/>
  <c r="R104" i="17"/>
  <c r="V104" i="17"/>
  <c r="Z104" i="17"/>
  <c r="AD104" i="17"/>
  <c r="F105" i="17"/>
  <c r="J105" i="17"/>
  <c r="N105" i="17"/>
  <c r="R105" i="17"/>
  <c r="V105" i="17"/>
  <c r="Z105" i="17"/>
  <c r="AD105" i="17"/>
  <c r="F106" i="17"/>
  <c r="J106" i="17"/>
  <c r="N106" i="17"/>
  <c r="R106" i="17"/>
  <c r="V106" i="17"/>
  <c r="Z106" i="17"/>
  <c r="AD106" i="17"/>
  <c r="F107" i="17"/>
  <c r="J107" i="17"/>
  <c r="N107" i="17"/>
  <c r="R107" i="17"/>
  <c r="V107" i="17"/>
  <c r="Z107" i="17"/>
  <c r="AD107" i="17"/>
  <c r="F108" i="17"/>
  <c r="J108" i="17"/>
  <c r="N108" i="17"/>
  <c r="R108" i="17"/>
  <c r="V108" i="17"/>
  <c r="Z108" i="17"/>
  <c r="AD108" i="17"/>
  <c r="F109" i="17"/>
  <c r="J109" i="17"/>
  <c r="N109" i="17"/>
  <c r="R109" i="17"/>
  <c r="V109" i="17"/>
  <c r="Z109" i="17"/>
  <c r="AD109" i="17"/>
  <c r="C110" i="17"/>
  <c r="D110" i="17"/>
  <c r="E110" i="17"/>
  <c r="G110" i="17"/>
  <c r="H110" i="17"/>
  <c r="I110" i="17"/>
  <c r="K110" i="17"/>
  <c r="L110" i="17"/>
  <c r="M110" i="17"/>
  <c r="O110" i="17"/>
  <c r="P110" i="17"/>
  <c r="Q110" i="17"/>
  <c r="S110" i="17"/>
  <c r="T110" i="17"/>
  <c r="U110" i="17"/>
  <c r="W110" i="17"/>
  <c r="X110" i="17"/>
  <c r="Y110" i="17"/>
  <c r="AA110" i="17"/>
  <c r="AB110" i="17"/>
  <c r="AC110" i="17"/>
  <c r="AE110" i="17"/>
  <c r="AF110" i="17"/>
  <c r="F112" i="17"/>
  <c r="J112" i="17"/>
  <c r="N112" i="17"/>
  <c r="R112" i="17"/>
  <c r="V112" i="17"/>
  <c r="Z112" i="17"/>
  <c r="AD112" i="17"/>
  <c r="F115" i="17"/>
  <c r="F116" i="17"/>
  <c r="F117" i="17"/>
  <c r="J116" i="17"/>
  <c r="J117" i="17"/>
  <c r="N116" i="17"/>
  <c r="N117" i="17"/>
  <c r="R116" i="17"/>
  <c r="R117" i="17"/>
  <c r="V116" i="17"/>
  <c r="V117" i="17"/>
  <c r="Z116" i="17"/>
  <c r="Z117" i="17"/>
  <c r="AD116" i="17"/>
  <c r="AD117" i="17"/>
  <c r="D7" i="11"/>
  <c r="D11" i="11" s="1"/>
  <c r="E7" i="11"/>
  <c r="F7" i="11"/>
  <c r="F11" i="11" s="1"/>
  <c r="G7" i="11"/>
  <c r="H7" i="11"/>
  <c r="I7" i="11"/>
  <c r="J7" i="11"/>
  <c r="K7" i="11"/>
  <c r="L7" i="11"/>
  <c r="G8" i="11"/>
  <c r="J8" i="17" s="1"/>
  <c r="H8" i="11"/>
  <c r="H11" i="11" s="1"/>
  <c r="I8" i="11"/>
  <c r="I49" i="6" s="1"/>
  <c r="I50" i="6" s="1"/>
  <c r="I51" i="6" s="1"/>
  <c r="J8" i="11"/>
  <c r="K8" i="11"/>
  <c r="L8" i="11"/>
  <c r="E11" i="11"/>
  <c r="D12" i="11"/>
  <c r="E12" i="11"/>
  <c r="F12" i="11"/>
  <c r="F12" i="17" s="1"/>
  <c r="G12" i="11"/>
  <c r="J12" i="17" s="1"/>
  <c r="H12" i="11"/>
  <c r="I12" i="11"/>
  <c r="J12" i="11"/>
  <c r="K12" i="11"/>
  <c r="Z12" i="17" s="1"/>
  <c r="L12" i="11"/>
  <c r="AD12" i="17" s="1"/>
  <c r="F56" i="11"/>
  <c r="F13" i="11" s="1"/>
  <c r="F13" i="17" s="1"/>
  <c r="G56" i="11"/>
  <c r="G13" i="11" s="1"/>
  <c r="J13" i="17" s="1"/>
  <c r="H56" i="11"/>
  <c r="H13" i="11" s="1"/>
  <c r="I56" i="11"/>
  <c r="I13" i="11" s="1"/>
  <c r="J13" i="11"/>
  <c r="K13" i="11"/>
  <c r="Z13" i="17" s="1"/>
  <c r="L13" i="11"/>
  <c r="AD13" i="17" s="1"/>
  <c r="G16" i="11"/>
  <c r="J16" i="17" s="1"/>
  <c r="H16" i="11"/>
  <c r="N16" i="17" s="1"/>
  <c r="I16" i="11"/>
  <c r="R16" i="17" s="1"/>
  <c r="A27" i="11"/>
  <c r="D40" i="11"/>
  <c r="E40" i="11"/>
  <c r="F40" i="11"/>
  <c r="F40" i="17" s="1"/>
  <c r="G40" i="11"/>
  <c r="J40" i="17" s="1"/>
  <c r="H40" i="11"/>
  <c r="N40" i="17" s="1"/>
  <c r="I40" i="11"/>
  <c r="R40" i="17" s="1"/>
  <c r="J40" i="11"/>
  <c r="V40" i="17" s="1"/>
  <c r="D48" i="11"/>
  <c r="E48" i="11"/>
  <c r="F48" i="11"/>
  <c r="G48" i="11"/>
  <c r="H48" i="11"/>
  <c r="I48" i="11"/>
  <c r="J48" i="11"/>
  <c r="K48" i="11"/>
  <c r="L48" i="11"/>
  <c r="D49" i="11"/>
  <c r="E49" i="11"/>
  <c r="F49" i="11"/>
  <c r="G49" i="11"/>
  <c r="H49" i="11"/>
  <c r="I49" i="11"/>
  <c r="J49" i="11"/>
  <c r="K49" i="11"/>
  <c r="L49" i="11"/>
  <c r="C52" i="11"/>
  <c r="D52" i="11"/>
  <c r="E52" i="11"/>
  <c r="F52" i="11"/>
  <c r="G52" i="11"/>
  <c r="H52" i="11"/>
  <c r="I52" i="11"/>
  <c r="J52" i="11"/>
  <c r="K52" i="11"/>
  <c r="L52" i="11"/>
  <c r="C53" i="11"/>
  <c r="D53" i="11"/>
  <c r="E53" i="11"/>
  <c r="F53" i="11"/>
  <c r="G53" i="11"/>
  <c r="H53" i="11"/>
  <c r="I53" i="11"/>
  <c r="J53" i="11"/>
  <c r="K53" i="11"/>
  <c r="L53" i="11"/>
  <c r="C56" i="11"/>
  <c r="D56" i="11"/>
  <c r="E56" i="11"/>
  <c r="I69" i="11"/>
  <c r="J69" i="11"/>
  <c r="K69" i="11"/>
  <c r="L69" i="11"/>
  <c r="I72" i="11"/>
  <c r="J72" i="11"/>
  <c r="K72" i="11"/>
  <c r="L72" i="11"/>
  <c r="I79" i="11"/>
  <c r="J79" i="11"/>
  <c r="J98" i="11" s="1"/>
  <c r="K79" i="11"/>
  <c r="K98" i="11" s="1"/>
  <c r="L79" i="11"/>
  <c r="L98" i="11" s="1"/>
  <c r="C94" i="11"/>
  <c r="C98" i="11" s="1"/>
  <c r="D94" i="11"/>
  <c r="D98" i="11" s="1"/>
  <c r="E94" i="11"/>
  <c r="E98" i="11" s="1"/>
  <c r="F94" i="11"/>
  <c r="F98" i="11" s="1"/>
  <c r="G94" i="11"/>
  <c r="G98" i="11" s="1"/>
  <c r="H94" i="11"/>
  <c r="H98" i="11" s="1"/>
  <c r="I94" i="11"/>
  <c r="C110" i="11"/>
  <c r="D110" i="11"/>
  <c r="E110" i="11"/>
  <c r="F110" i="11"/>
  <c r="G110" i="11"/>
  <c r="H110" i="11"/>
  <c r="I110" i="11"/>
  <c r="J110" i="11"/>
  <c r="K110" i="11"/>
  <c r="L110" i="11"/>
  <c r="C64" i="16"/>
  <c r="C65" i="16"/>
  <c r="C66" i="16"/>
  <c r="C67" i="16"/>
  <c r="C69" i="16"/>
  <c r="C70" i="16"/>
  <c r="C71" i="16"/>
  <c r="C72" i="16"/>
  <c r="C73" i="16"/>
  <c r="C74" i="16"/>
  <c r="C94" i="16"/>
  <c r="C95" i="16"/>
  <c r="C24" i="16" s="1"/>
  <c r="C96" i="16"/>
  <c r="C97" i="16"/>
  <c r="C98" i="16"/>
  <c r="C99" i="16"/>
  <c r="C100" i="16"/>
  <c r="C101" i="16"/>
  <c r="C102" i="16"/>
  <c r="D68" i="16"/>
  <c r="D75" i="16"/>
  <c r="D103" i="16"/>
  <c r="D104" i="16" s="1"/>
  <c r="E68" i="16"/>
  <c r="E75" i="16"/>
  <c r="E103" i="16"/>
  <c r="E104" i="16" s="1"/>
  <c r="F68" i="16"/>
  <c r="F75" i="16"/>
  <c r="F103" i="16"/>
  <c r="F104" i="16" s="1"/>
  <c r="G64" i="16"/>
  <c r="G22" i="16" s="1"/>
  <c r="G65" i="16"/>
  <c r="G66" i="16"/>
  <c r="G68" i="16" s="1"/>
  <c r="G67" i="16"/>
  <c r="G69" i="16"/>
  <c r="G70" i="16"/>
  <c r="G71" i="16"/>
  <c r="G72" i="16"/>
  <c r="G73" i="16"/>
  <c r="G74" i="16"/>
  <c r="G94" i="16"/>
  <c r="G95" i="16"/>
  <c r="G24" i="16" s="1"/>
  <c r="G96" i="16"/>
  <c r="G97" i="16"/>
  <c r="G98" i="16"/>
  <c r="G99" i="16"/>
  <c r="G100" i="16"/>
  <c r="G101" i="16"/>
  <c r="G102" i="16"/>
  <c r="H68" i="16"/>
  <c r="H75" i="16"/>
  <c r="H103" i="16"/>
  <c r="H104" i="16" s="1"/>
  <c r="I68" i="16"/>
  <c r="I75" i="16"/>
  <c r="I103" i="16"/>
  <c r="I104" i="16" s="1"/>
  <c r="J68" i="16"/>
  <c r="J75" i="16"/>
  <c r="J103" i="16"/>
  <c r="J104" i="16" s="1"/>
  <c r="K64" i="16"/>
  <c r="K65" i="16"/>
  <c r="K23" i="16" s="1"/>
  <c r="K66" i="16"/>
  <c r="K67" i="16"/>
  <c r="K69" i="16"/>
  <c r="K70" i="16"/>
  <c r="K71" i="16"/>
  <c r="K72" i="16"/>
  <c r="K73" i="16"/>
  <c r="K74" i="16"/>
  <c r="K94" i="16"/>
  <c r="K95" i="16"/>
  <c r="K24" i="16" s="1"/>
  <c r="K96" i="16"/>
  <c r="K97" i="16"/>
  <c r="K98" i="16"/>
  <c r="K99" i="16"/>
  <c r="K100" i="16"/>
  <c r="K101" i="16"/>
  <c r="K102" i="16"/>
  <c r="L68" i="16"/>
  <c r="L75" i="16"/>
  <c r="L95" i="16"/>
  <c r="L97" i="16"/>
  <c r="L103" i="16"/>
  <c r="L104" i="16" s="1"/>
  <c r="M68" i="16"/>
  <c r="M75" i="16"/>
  <c r="M95" i="16"/>
  <c r="M97" i="16"/>
  <c r="M103" i="16"/>
  <c r="M104" i="16" s="1"/>
  <c r="N68" i="16"/>
  <c r="N75" i="16"/>
  <c r="N95" i="16"/>
  <c r="N97" i="16"/>
  <c r="N103" i="16"/>
  <c r="N104" i="16" s="1"/>
  <c r="O64" i="16"/>
  <c r="O65" i="16"/>
  <c r="O66" i="16"/>
  <c r="O67" i="16"/>
  <c r="O69" i="16"/>
  <c r="O70" i="16"/>
  <c r="O71" i="16"/>
  <c r="O72" i="16"/>
  <c r="O73" i="16"/>
  <c r="O74" i="16"/>
  <c r="O94" i="16"/>
  <c r="O96" i="16"/>
  <c r="O98" i="16"/>
  <c r="O99" i="16"/>
  <c r="O100" i="16"/>
  <c r="O101" i="16"/>
  <c r="O102" i="16"/>
  <c r="P68" i="16"/>
  <c r="P75" i="16"/>
  <c r="P95" i="16"/>
  <c r="P97" i="16"/>
  <c r="P103" i="16"/>
  <c r="Q68" i="16"/>
  <c r="Q75" i="16"/>
  <c r="Q95" i="16"/>
  <c r="Q97" i="16"/>
  <c r="Q103" i="16"/>
  <c r="R68" i="16"/>
  <c r="R75" i="16"/>
  <c r="R95" i="16"/>
  <c r="R97" i="16"/>
  <c r="R103" i="16"/>
  <c r="S64" i="16"/>
  <c r="S65" i="16"/>
  <c r="S23" i="16" s="1"/>
  <c r="S66" i="16"/>
  <c r="S67" i="16"/>
  <c r="S69" i="16"/>
  <c r="S70" i="16"/>
  <c r="S71" i="16"/>
  <c r="S72" i="16"/>
  <c r="S73" i="16"/>
  <c r="S74" i="16"/>
  <c r="S94" i="16"/>
  <c r="S95" i="16"/>
  <c r="S24" i="16" s="1"/>
  <c r="S96" i="16"/>
  <c r="S97" i="16"/>
  <c r="S98" i="16"/>
  <c r="S99" i="16"/>
  <c r="S100" i="16"/>
  <c r="S101" i="16"/>
  <c r="S102" i="16"/>
  <c r="T68" i="16"/>
  <c r="T75" i="16"/>
  <c r="T95" i="16"/>
  <c r="T97" i="16"/>
  <c r="T103" i="16"/>
  <c r="U68" i="16"/>
  <c r="U75" i="16"/>
  <c r="U95" i="16"/>
  <c r="U97" i="16"/>
  <c r="U103" i="16"/>
  <c r="V68" i="16"/>
  <c r="V75" i="16"/>
  <c r="V95" i="16"/>
  <c r="V97" i="16"/>
  <c r="V103" i="16"/>
  <c r="W64" i="16"/>
  <c r="W22" i="16" s="1"/>
  <c r="W65" i="16"/>
  <c r="W23" i="16" s="1"/>
  <c r="W66" i="16"/>
  <c r="W67" i="16"/>
  <c r="W69" i="16"/>
  <c r="W70" i="16"/>
  <c r="W71" i="16"/>
  <c r="W72" i="16"/>
  <c r="W73" i="16"/>
  <c r="W74" i="16"/>
  <c r="W94" i="16"/>
  <c r="W95" i="16"/>
  <c r="W24" i="16" s="1"/>
  <c r="W96" i="16"/>
  <c r="W97" i="16"/>
  <c r="W98" i="16"/>
  <c r="W99" i="16"/>
  <c r="W100" i="16"/>
  <c r="W101" i="16"/>
  <c r="W102" i="16"/>
  <c r="X68" i="16"/>
  <c r="X74" i="16"/>
  <c r="X75" i="16" s="1"/>
  <c r="X103" i="16"/>
  <c r="X104" i="16" s="1"/>
  <c r="Y68" i="16"/>
  <c r="Y74" i="16"/>
  <c r="Y75" i="16" s="1"/>
  <c r="Y102" i="16"/>
  <c r="Y103" i="16" s="1"/>
  <c r="Y104" i="16" s="1"/>
  <c r="Z68" i="16"/>
  <c r="Z75" i="16"/>
  <c r="Z103" i="16"/>
  <c r="Z104" i="16" s="1"/>
  <c r="AA64" i="16"/>
  <c r="AA66" i="16"/>
  <c r="AA67" i="16"/>
  <c r="AA69" i="16"/>
  <c r="AA70" i="16"/>
  <c r="AA71" i="16"/>
  <c r="AA72" i="16"/>
  <c r="AA73" i="16"/>
  <c r="AA74" i="16"/>
  <c r="AA94" i="16"/>
  <c r="AA95" i="16"/>
  <c r="AA96" i="16"/>
  <c r="AA97" i="16"/>
  <c r="AA98" i="16"/>
  <c r="AA99" i="16"/>
  <c r="AA100" i="16"/>
  <c r="AA101" i="16"/>
  <c r="AA102" i="16"/>
  <c r="AB67" i="16"/>
  <c r="AB68" i="16" s="1"/>
  <c r="AB74" i="16"/>
  <c r="AB75" i="16" s="1"/>
  <c r="AB102" i="16"/>
  <c r="AB103" i="16" s="1"/>
  <c r="AB104" i="16" s="1"/>
  <c r="AC68" i="16"/>
  <c r="AC75" i="16"/>
  <c r="AC103" i="16"/>
  <c r="AC104" i="16" s="1"/>
  <c r="C84" i="16"/>
  <c r="C90" i="16"/>
  <c r="C55" i="16"/>
  <c r="C59" i="16"/>
  <c r="C39" i="16"/>
  <c r="C37" i="16"/>
  <c r="D38" i="16"/>
  <c r="D40" i="16" s="1"/>
  <c r="D36" i="16" s="1"/>
  <c r="D9" i="16" s="1"/>
  <c r="E38" i="16"/>
  <c r="E40" i="16" s="1"/>
  <c r="E36" i="16" s="1"/>
  <c r="E9" i="16" s="1"/>
  <c r="F38" i="16"/>
  <c r="F40" i="16" s="1"/>
  <c r="F36" i="16" s="1"/>
  <c r="F9" i="16" s="1"/>
  <c r="G84" i="16"/>
  <c r="G90" i="16"/>
  <c r="G55" i="16"/>
  <c r="G59" i="16"/>
  <c r="G39" i="16"/>
  <c r="G37" i="16"/>
  <c r="H38" i="16"/>
  <c r="H40" i="16" s="1"/>
  <c r="H36" i="16" s="1"/>
  <c r="H9" i="16" s="1"/>
  <c r="I38" i="16"/>
  <c r="I40" i="16" s="1"/>
  <c r="I36" i="16" s="1"/>
  <c r="I9" i="16" s="1"/>
  <c r="J38" i="16"/>
  <c r="J40" i="16" s="1"/>
  <c r="J36" i="16" s="1"/>
  <c r="J9" i="16" s="1"/>
  <c r="K84" i="16"/>
  <c r="K90" i="16"/>
  <c r="K92" i="16" s="1"/>
  <c r="K55" i="16"/>
  <c r="K59" i="16"/>
  <c r="K39" i="16"/>
  <c r="K37" i="16"/>
  <c r="L38" i="16"/>
  <c r="L39" i="16"/>
  <c r="M38" i="16"/>
  <c r="M40" i="16" s="1"/>
  <c r="M9" i="16" s="1"/>
  <c r="N38" i="16"/>
  <c r="N40" i="16" s="1"/>
  <c r="N9" i="16" s="1"/>
  <c r="O84" i="16"/>
  <c r="O90" i="16"/>
  <c r="O55" i="16"/>
  <c r="O59" i="16"/>
  <c r="O39" i="16"/>
  <c r="P38" i="16"/>
  <c r="P40" i="16" s="1"/>
  <c r="P9" i="16" s="1"/>
  <c r="P39" i="16"/>
  <c r="Q38" i="16"/>
  <c r="Q39" i="16"/>
  <c r="R38" i="16"/>
  <c r="R39" i="16"/>
  <c r="T38" i="16"/>
  <c r="T40" i="16" s="1"/>
  <c r="T9" i="16" s="1"/>
  <c r="T39" i="16"/>
  <c r="U38" i="16"/>
  <c r="U40" i="16" s="1"/>
  <c r="U9" i="16" s="1"/>
  <c r="U39" i="16"/>
  <c r="V38" i="16"/>
  <c r="V40" i="16" s="1"/>
  <c r="V39" i="16"/>
  <c r="W84" i="16"/>
  <c r="W90" i="16"/>
  <c r="W92" i="16" s="1"/>
  <c r="W55" i="16"/>
  <c r="W59" i="16"/>
  <c r="W39" i="16"/>
  <c r="X38" i="16"/>
  <c r="X40" i="16" s="1"/>
  <c r="X39" i="16"/>
  <c r="Y38" i="16"/>
  <c r="Y40" i="16" s="1"/>
  <c r="Y9" i="16" s="1"/>
  <c r="Y39" i="16"/>
  <c r="Z38" i="16"/>
  <c r="Z40" i="16" s="1"/>
  <c r="Z9" i="16" s="1"/>
  <c r="Z39" i="16"/>
  <c r="AA84" i="16"/>
  <c r="AA90" i="16"/>
  <c r="AA55" i="16"/>
  <c r="AA59" i="16"/>
  <c r="AA61" i="16" s="1"/>
  <c r="AA39" i="16"/>
  <c r="AB38" i="16"/>
  <c r="AB40" i="16" s="1"/>
  <c r="AB9" i="16" s="1"/>
  <c r="AB39" i="16"/>
  <c r="AC38" i="16"/>
  <c r="AC40" i="16" s="1"/>
  <c r="AC9" i="16" s="1"/>
  <c r="AC39" i="16"/>
  <c r="C12" i="16"/>
  <c r="D12" i="16"/>
  <c r="E12" i="16"/>
  <c r="F12" i="16"/>
  <c r="G12" i="16"/>
  <c r="H12" i="16"/>
  <c r="I12" i="16"/>
  <c r="J12" i="16"/>
  <c r="K12" i="16"/>
  <c r="L12" i="16"/>
  <c r="M12" i="16"/>
  <c r="N12" i="16"/>
  <c r="O12" i="16"/>
  <c r="P12" i="16"/>
  <c r="Q12" i="16"/>
  <c r="R12" i="16"/>
  <c r="S12" i="16"/>
  <c r="T12" i="16"/>
  <c r="U12" i="16"/>
  <c r="V12" i="16"/>
  <c r="W12" i="16"/>
  <c r="X12" i="16"/>
  <c r="Y12" i="16"/>
  <c r="Z12" i="16"/>
  <c r="AA12" i="16"/>
  <c r="AB12" i="16"/>
  <c r="AC12" i="16"/>
  <c r="C13" i="16"/>
  <c r="D13" i="16"/>
  <c r="E13" i="16"/>
  <c r="F13" i="16"/>
  <c r="G13" i="16"/>
  <c r="H13" i="16"/>
  <c r="I13" i="16"/>
  <c r="J13" i="16"/>
  <c r="K13" i="16"/>
  <c r="L13" i="16"/>
  <c r="M13" i="16"/>
  <c r="N13" i="16"/>
  <c r="O13" i="16"/>
  <c r="P13" i="16"/>
  <c r="Q13" i="16"/>
  <c r="R13" i="16"/>
  <c r="S13" i="16"/>
  <c r="T13" i="16"/>
  <c r="U13" i="16"/>
  <c r="V13" i="16"/>
  <c r="W13" i="16"/>
  <c r="X13" i="16"/>
  <c r="Y13" i="16"/>
  <c r="Z13" i="16"/>
  <c r="AA13" i="16"/>
  <c r="AB13" i="16"/>
  <c r="AC13" i="16"/>
  <c r="C47" i="16"/>
  <c r="C18" i="16" s="1"/>
  <c r="C48" i="16"/>
  <c r="C19" i="16" s="1"/>
  <c r="C50" i="16"/>
  <c r="C51" i="16"/>
  <c r="C52" i="16"/>
  <c r="C53" i="16"/>
  <c r="C17" i="16"/>
  <c r="D18" i="16"/>
  <c r="D16" i="16" s="1"/>
  <c r="D19" i="16"/>
  <c r="D20" i="16"/>
  <c r="E18" i="16"/>
  <c r="E19" i="16"/>
  <c r="E20" i="16"/>
  <c r="F18" i="16"/>
  <c r="F19" i="16"/>
  <c r="F20" i="16"/>
  <c r="G47" i="16"/>
  <c r="G18" i="16" s="1"/>
  <c r="G48" i="16"/>
  <c r="G19" i="16" s="1"/>
  <c r="G50" i="16"/>
  <c r="G51" i="16"/>
  <c r="G52" i="16"/>
  <c r="G53" i="16"/>
  <c r="G17" i="16"/>
  <c r="H18" i="16"/>
  <c r="H16" i="16" s="1"/>
  <c r="H19" i="16"/>
  <c r="H20" i="16"/>
  <c r="I18" i="16"/>
  <c r="I16" i="16" s="1"/>
  <c r="I19" i="16"/>
  <c r="I20" i="16"/>
  <c r="J18" i="16"/>
  <c r="J19" i="16"/>
  <c r="J20" i="16"/>
  <c r="K47" i="16"/>
  <c r="K18" i="16" s="1"/>
  <c r="K48" i="16"/>
  <c r="K19" i="16" s="1"/>
  <c r="K50" i="16"/>
  <c r="K51" i="16"/>
  <c r="K52" i="16"/>
  <c r="K53" i="16"/>
  <c r="K17" i="16"/>
  <c r="L18" i="16"/>
  <c r="L19" i="16"/>
  <c r="L20" i="16"/>
  <c r="M18" i="16"/>
  <c r="M16" i="16" s="1"/>
  <c r="M19" i="16"/>
  <c r="M20" i="16"/>
  <c r="N18" i="16"/>
  <c r="N16" i="16" s="1"/>
  <c r="N19" i="16"/>
  <c r="N20" i="16"/>
  <c r="O47" i="16"/>
  <c r="O18" i="16" s="1"/>
  <c r="O48" i="16"/>
  <c r="O19" i="16" s="1"/>
  <c r="O50" i="16"/>
  <c r="O51" i="16"/>
  <c r="O52" i="16"/>
  <c r="O53" i="16"/>
  <c r="O17" i="16"/>
  <c r="P18" i="16"/>
  <c r="P16" i="16" s="1"/>
  <c r="P19" i="16"/>
  <c r="P20" i="16"/>
  <c r="Q18" i="16"/>
  <c r="Q19" i="16"/>
  <c r="Q20" i="16"/>
  <c r="R18" i="16"/>
  <c r="R16" i="16" s="1"/>
  <c r="R19" i="16"/>
  <c r="R20" i="16"/>
  <c r="S47" i="16"/>
  <c r="S18" i="16" s="1"/>
  <c r="S48" i="16"/>
  <c r="S19" i="16" s="1"/>
  <c r="S50" i="16"/>
  <c r="S51" i="16"/>
  <c r="S52" i="16"/>
  <c r="S53" i="16"/>
  <c r="S17" i="16"/>
  <c r="T18" i="16"/>
  <c r="T16" i="16" s="1"/>
  <c r="T19" i="16"/>
  <c r="T20" i="16"/>
  <c r="U18" i="16"/>
  <c r="U16" i="16" s="1"/>
  <c r="U19" i="16"/>
  <c r="U20" i="16"/>
  <c r="V18" i="16"/>
  <c r="V19" i="16"/>
  <c r="V20" i="16"/>
  <c r="W47" i="16"/>
  <c r="W18" i="16" s="1"/>
  <c r="W16" i="16" s="1"/>
  <c r="W48" i="16"/>
  <c r="W19" i="16" s="1"/>
  <c r="W50" i="16"/>
  <c r="W51" i="16"/>
  <c r="W52" i="16"/>
  <c r="W53" i="16"/>
  <c r="W17" i="16"/>
  <c r="X18" i="16"/>
  <c r="X16" i="16" s="1"/>
  <c r="X19" i="16"/>
  <c r="X20" i="16"/>
  <c r="Y18" i="16"/>
  <c r="Y19" i="16"/>
  <c r="Y20" i="16"/>
  <c r="Z18" i="16"/>
  <c r="Z16" i="16" s="1"/>
  <c r="Z19" i="16"/>
  <c r="Z20" i="16"/>
  <c r="AA47" i="16"/>
  <c r="AA18" i="16" s="1"/>
  <c r="AA48" i="16"/>
  <c r="AA19" i="16"/>
  <c r="AA50" i="16"/>
  <c r="AA51" i="16"/>
  <c r="AA52" i="16"/>
  <c r="AA53" i="16"/>
  <c r="AA17" i="16"/>
  <c r="AB18" i="16"/>
  <c r="AB19" i="16"/>
  <c r="AB20" i="16"/>
  <c r="AC18" i="16"/>
  <c r="AC16" i="16" s="1"/>
  <c r="AC19" i="16"/>
  <c r="AC20" i="16"/>
  <c r="C22" i="16"/>
  <c r="D22" i="16"/>
  <c r="E22" i="16"/>
  <c r="F22" i="16"/>
  <c r="H22" i="16"/>
  <c r="I22" i="16"/>
  <c r="J22" i="16"/>
  <c r="K22" i="16"/>
  <c r="L22" i="16"/>
  <c r="M22" i="16"/>
  <c r="N22" i="16"/>
  <c r="O22" i="16"/>
  <c r="P22" i="16"/>
  <c r="Q22" i="16"/>
  <c r="R22" i="16"/>
  <c r="S22" i="16"/>
  <c r="T22" i="16"/>
  <c r="U22" i="16"/>
  <c r="V22" i="16"/>
  <c r="X22" i="16"/>
  <c r="Y22" i="16"/>
  <c r="Z22" i="16"/>
  <c r="AA22" i="16"/>
  <c r="AB22" i="16"/>
  <c r="AC22" i="16"/>
  <c r="C23" i="16"/>
  <c r="D23" i="16"/>
  <c r="E23" i="16"/>
  <c r="F23" i="16"/>
  <c r="H23" i="16"/>
  <c r="I23" i="16"/>
  <c r="J23" i="16"/>
  <c r="L23" i="16"/>
  <c r="M23" i="16"/>
  <c r="N23" i="16"/>
  <c r="O23" i="16"/>
  <c r="P23" i="16"/>
  <c r="Q23" i="16"/>
  <c r="R23" i="16"/>
  <c r="T23" i="16"/>
  <c r="U23" i="16"/>
  <c r="V23" i="16"/>
  <c r="X23" i="16"/>
  <c r="Y23" i="16"/>
  <c r="Z23" i="16"/>
  <c r="AB23" i="16"/>
  <c r="AC23" i="16"/>
  <c r="D24" i="16"/>
  <c r="E24" i="16"/>
  <c r="F24" i="16"/>
  <c r="H24" i="16"/>
  <c r="I24" i="16"/>
  <c r="J24" i="16"/>
  <c r="L24" i="16"/>
  <c r="M24" i="16"/>
  <c r="N24" i="16"/>
  <c r="P24" i="16"/>
  <c r="Q24" i="16"/>
  <c r="R24" i="16"/>
  <c r="X24" i="16"/>
  <c r="Y24" i="16"/>
  <c r="Z24" i="16"/>
  <c r="AA24" i="16"/>
  <c r="AB24" i="16"/>
  <c r="AC24" i="16"/>
  <c r="C56" i="16"/>
  <c r="C58" i="16"/>
  <c r="C60" i="16"/>
  <c r="C85" i="16"/>
  <c r="C89" i="16"/>
  <c r="C91" i="16"/>
  <c r="C92" i="16" s="1"/>
  <c r="D26" i="16"/>
  <c r="E26" i="16"/>
  <c r="F26" i="16"/>
  <c r="G56" i="16"/>
  <c r="G58" i="16"/>
  <c r="G60" i="16"/>
  <c r="G85" i="16"/>
  <c r="G89" i="16"/>
  <c r="G91" i="16"/>
  <c r="H26" i="16"/>
  <c r="I26" i="16"/>
  <c r="J26" i="16"/>
  <c r="K56" i="16"/>
  <c r="K58" i="16"/>
  <c r="K60" i="16"/>
  <c r="K85" i="16"/>
  <c r="K89" i="16"/>
  <c r="K91" i="16"/>
  <c r="L26" i="16"/>
  <c r="M26" i="16"/>
  <c r="N26" i="16"/>
  <c r="O56" i="16"/>
  <c r="O58" i="16"/>
  <c r="O60" i="16"/>
  <c r="O61" i="16" s="1"/>
  <c r="O85" i="16"/>
  <c r="O89" i="16"/>
  <c r="O91" i="16"/>
  <c r="R26" i="16"/>
  <c r="S56" i="16"/>
  <c r="S58" i="16"/>
  <c r="S60" i="16"/>
  <c r="S85" i="16"/>
  <c r="S89" i="16"/>
  <c r="S91" i="16"/>
  <c r="T26" i="16"/>
  <c r="U26" i="16"/>
  <c r="V26" i="16"/>
  <c r="W56" i="16"/>
  <c r="W58" i="16"/>
  <c r="W60" i="16"/>
  <c r="W61" i="16" s="1"/>
  <c r="W85" i="16"/>
  <c r="W89" i="16"/>
  <c r="W91" i="16"/>
  <c r="X26" i="16"/>
  <c r="Z26" i="16"/>
  <c r="AA56" i="16"/>
  <c r="AA58" i="16"/>
  <c r="AA60" i="16"/>
  <c r="AA85" i="16"/>
  <c r="AA89" i="16"/>
  <c r="AA91" i="16"/>
  <c r="AB56" i="16"/>
  <c r="AC26" i="16"/>
  <c r="C77" i="16"/>
  <c r="C105" i="16"/>
  <c r="D29" i="16"/>
  <c r="E29" i="16"/>
  <c r="F29" i="16"/>
  <c r="G77" i="16"/>
  <c r="G105" i="16"/>
  <c r="H29" i="16"/>
  <c r="I29" i="16"/>
  <c r="J29" i="16"/>
  <c r="K77" i="16"/>
  <c r="K105" i="16"/>
  <c r="L29" i="16"/>
  <c r="M29" i="16"/>
  <c r="N29" i="16"/>
  <c r="O77" i="16"/>
  <c r="O105" i="16"/>
  <c r="P29" i="16"/>
  <c r="Q29" i="16"/>
  <c r="R29" i="16"/>
  <c r="S77" i="16"/>
  <c r="S105" i="16"/>
  <c r="T29" i="16"/>
  <c r="U29" i="16"/>
  <c r="V29" i="16"/>
  <c r="W77" i="16"/>
  <c r="W105" i="16"/>
  <c r="X29" i="16"/>
  <c r="Y29" i="16"/>
  <c r="Z29" i="16"/>
  <c r="AA77" i="16"/>
  <c r="AA105" i="16"/>
  <c r="AB29" i="16"/>
  <c r="AC29" i="16"/>
  <c r="C108" i="16"/>
  <c r="C109" i="16"/>
  <c r="C110" i="16"/>
  <c r="C112" i="16"/>
  <c r="C113" i="16"/>
  <c r="D111" i="16"/>
  <c r="D114" i="16"/>
  <c r="E111" i="16"/>
  <c r="E114" i="16"/>
  <c r="F111" i="16"/>
  <c r="F114" i="16"/>
  <c r="G108" i="16"/>
  <c r="G109" i="16"/>
  <c r="G110" i="16"/>
  <c r="G112" i="16"/>
  <c r="G113" i="16"/>
  <c r="H111" i="16"/>
  <c r="H114" i="16"/>
  <c r="I111" i="16"/>
  <c r="I114" i="16"/>
  <c r="J111" i="16"/>
  <c r="J114" i="16"/>
  <c r="K108" i="16"/>
  <c r="K109" i="16"/>
  <c r="K110" i="16"/>
  <c r="K112" i="16"/>
  <c r="K113" i="16"/>
  <c r="L111" i="16"/>
  <c r="L114" i="16"/>
  <c r="M111" i="16"/>
  <c r="M114" i="16"/>
  <c r="N111" i="16"/>
  <c r="N114" i="16"/>
  <c r="O108" i="16"/>
  <c r="O109" i="16"/>
  <c r="O110" i="16"/>
  <c r="O112" i="16"/>
  <c r="O113" i="16"/>
  <c r="P111" i="16"/>
  <c r="P114" i="16"/>
  <c r="Q111" i="16"/>
  <c r="Q114" i="16"/>
  <c r="R111" i="16"/>
  <c r="R114" i="16"/>
  <c r="S108" i="16"/>
  <c r="S109" i="16"/>
  <c r="S110" i="16"/>
  <c r="S112" i="16"/>
  <c r="S113" i="16"/>
  <c r="T111" i="16"/>
  <c r="T114" i="16"/>
  <c r="U111" i="16"/>
  <c r="U114" i="16"/>
  <c r="V111" i="16"/>
  <c r="V114" i="16"/>
  <c r="W108" i="16"/>
  <c r="W109" i="16"/>
  <c r="W110" i="16"/>
  <c r="W112" i="16"/>
  <c r="W113" i="16"/>
  <c r="X111" i="16"/>
  <c r="X114" i="16"/>
  <c r="Y111" i="16"/>
  <c r="Y114" i="16"/>
  <c r="Z111" i="16"/>
  <c r="Z114" i="16"/>
  <c r="AA108" i="16"/>
  <c r="AA109" i="16"/>
  <c r="AA110" i="16"/>
  <c r="AA112" i="16"/>
  <c r="AA113" i="16"/>
  <c r="AB111" i="16"/>
  <c r="AB114" i="16"/>
  <c r="AC111" i="16"/>
  <c r="AC114" i="16"/>
  <c r="C54" i="16"/>
  <c r="C62" i="16"/>
  <c r="C86" i="16"/>
  <c r="C87" i="16"/>
  <c r="C88" i="16"/>
  <c r="D33" i="16"/>
  <c r="D35" i="16" s="1"/>
  <c r="E33" i="16"/>
  <c r="E35" i="16" s="1"/>
  <c r="F33" i="16"/>
  <c r="F35" i="16" s="1"/>
  <c r="G54" i="16"/>
  <c r="G62" i="16"/>
  <c r="G86" i="16"/>
  <c r="G87" i="16"/>
  <c r="G88" i="16"/>
  <c r="H33" i="16"/>
  <c r="H35" i="16" s="1"/>
  <c r="I33" i="16"/>
  <c r="I35" i="16" s="1"/>
  <c r="J33" i="16"/>
  <c r="J35" i="16" s="1"/>
  <c r="K54" i="16"/>
  <c r="K62" i="16"/>
  <c r="K86" i="16"/>
  <c r="K87" i="16"/>
  <c r="K88" i="16"/>
  <c r="L33" i="16"/>
  <c r="M33" i="16"/>
  <c r="M35" i="16" s="1"/>
  <c r="N33" i="16"/>
  <c r="N35" i="16" s="1"/>
  <c r="O54" i="16"/>
  <c r="O62" i="16"/>
  <c r="O86" i="16"/>
  <c r="O87" i="16"/>
  <c r="O88" i="16"/>
  <c r="P33" i="16"/>
  <c r="Q33" i="16"/>
  <c r="R33" i="16"/>
  <c r="S54" i="16"/>
  <c r="S62" i="16"/>
  <c r="S86" i="16"/>
  <c r="S87" i="16"/>
  <c r="S88" i="16"/>
  <c r="T33" i="16"/>
  <c r="U33" i="16"/>
  <c r="V33" i="16"/>
  <c r="W54" i="16"/>
  <c r="W62" i="16"/>
  <c r="W86" i="16"/>
  <c r="W87" i="16"/>
  <c r="W88" i="16"/>
  <c r="X33" i="16"/>
  <c r="X35" i="16" s="1"/>
  <c r="Y33" i="16"/>
  <c r="Y35" i="16" s="1"/>
  <c r="Z33" i="16"/>
  <c r="Z35" i="16" s="1"/>
  <c r="AA54" i="16"/>
  <c r="AA62" i="16"/>
  <c r="AA86" i="16"/>
  <c r="AA87" i="16"/>
  <c r="AA88" i="16"/>
  <c r="AB33" i="16"/>
  <c r="AB35" i="16" s="1"/>
  <c r="AC33" i="16"/>
  <c r="AC35" i="16" s="1"/>
  <c r="C34" i="16"/>
  <c r="G34" i="16"/>
  <c r="K34" i="16"/>
  <c r="L34" i="16"/>
  <c r="O34" i="16"/>
  <c r="P34" i="16"/>
  <c r="Q34" i="16"/>
  <c r="R34" i="16"/>
  <c r="S34" i="16"/>
  <c r="T34" i="16"/>
  <c r="U34" i="16"/>
  <c r="V34" i="16"/>
  <c r="W34" i="16"/>
  <c r="X34" i="16"/>
  <c r="Y34" i="16"/>
  <c r="Z34" i="16"/>
  <c r="AA34" i="16"/>
  <c r="M36" i="16"/>
  <c r="O37" i="16"/>
  <c r="S37" i="16"/>
  <c r="W37" i="16"/>
  <c r="Y36" i="16"/>
  <c r="AA37" i="16"/>
  <c r="S84" i="16"/>
  <c r="S90" i="16"/>
  <c r="S92" i="16" s="1"/>
  <c r="S55" i="16"/>
  <c r="S59" i="16"/>
  <c r="S39" i="16"/>
  <c r="C44" i="16"/>
  <c r="D44" i="16"/>
  <c r="E44" i="16"/>
  <c r="F44" i="16"/>
  <c r="G44" i="16"/>
  <c r="H44" i="16"/>
  <c r="I44" i="16"/>
  <c r="J44" i="16"/>
  <c r="K44" i="16"/>
  <c r="L44" i="16"/>
  <c r="M44" i="16"/>
  <c r="N44" i="16"/>
  <c r="O44" i="16"/>
  <c r="P44" i="16"/>
  <c r="Q44" i="16"/>
  <c r="R44" i="16"/>
  <c r="S44" i="16"/>
  <c r="T44" i="16"/>
  <c r="U44" i="16"/>
  <c r="V44" i="16"/>
  <c r="W44" i="16"/>
  <c r="X44" i="16"/>
  <c r="Y44" i="16"/>
  <c r="Z44" i="16"/>
  <c r="AA44" i="16"/>
  <c r="AB44" i="16"/>
  <c r="AC44" i="16"/>
  <c r="C45" i="16"/>
  <c r="D45" i="16"/>
  <c r="E45" i="16"/>
  <c r="F45" i="16"/>
  <c r="G45" i="16"/>
  <c r="H45" i="16"/>
  <c r="I45" i="16"/>
  <c r="J45" i="16"/>
  <c r="K45" i="16"/>
  <c r="L45" i="16"/>
  <c r="M45" i="16"/>
  <c r="N45" i="16"/>
  <c r="O45" i="16"/>
  <c r="P45" i="16"/>
  <c r="Q45" i="16"/>
  <c r="R45" i="16"/>
  <c r="S45" i="16"/>
  <c r="T45" i="16"/>
  <c r="U45" i="16"/>
  <c r="V45" i="16"/>
  <c r="W45" i="16"/>
  <c r="X45" i="16"/>
  <c r="Y45" i="16"/>
  <c r="Z45" i="16"/>
  <c r="AA45" i="16"/>
  <c r="AB45" i="16"/>
  <c r="AC45" i="16"/>
  <c r="C49" i="16"/>
  <c r="G49" i="16"/>
  <c r="K49" i="16"/>
  <c r="O49" i="16"/>
  <c r="S49" i="16"/>
  <c r="W49" i="16"/>
  <c r="AA49" i="16"/>
  <c r="D57" i="16"/>
  <c r="E57" i="16"/>
  <c r="F57" i="16"/>
  <c r="H57" i="16"/>
  <c r="I57" i="16"/>
  <c r="J57" i="16"/>
  <c r="L57" i="16"/>
  <c r="M57" i="16"/>
  <c r="N57" i="16"/>
  <c r="P57" i="16"/>
  <c r="Q57" i="16"/>
  <c r="R57" i="16"/>
  <c r="S57" i="16"/>
  <c r="T57" i="16"/>
  <c r="U57" i="16"/>
  <c r="V57" i="16"/>
  <c r="X57" i="16"/>
  <c r="Y57" i="16"/>
  <c r="Z57" i="16"/>
  <c r="AA57" i="16"/>
  <c r="AC57" i="16"/>
  <c r="C61" i="16"/>
  <c r="D61" i="16"/>
  <c r="E61" i="16"/>
  <c r="F61" i="16"/>
  <c r="H61" i="16"/>
  <c r="I61" i="16"/>
  <c r="J61" i="16"/>
  <c r="L61" i="16"/>
  <c r="M61" i="16"/>
  <c r="N61" i="16"/>
  <c r="P61" i="16"/>
  <c r="Q61" i="16"/>
  <c r="R61" i="16"/>
  <c r="T61" i="16"/>
  <c r="U61" i="16"/>
  <c r="V61" i="16"/>
  <c r="X61" i="16"/>
  <c r="Y61" i="16"/>
  <c r="Z61" i="16"/>
  <c r="AB61" i="16"/>
  <c r="AC61" i="16"/>
  <c r="C81" i="16"/>
  <c r="D81" i="16"/>
  <c r="E81" i="16"/>
  <c r="F81" i="16"/>
  <c r="G81" i="16"/>
  <c r="H81" i="16"/>
  <c r="I81" i="16"/>
  <c r="J81" i="16"/>
  <c r="K81" i="16"/>
  <c r="L81" i="16"/>
  <c r="M81" i="16"/>
  <c r="N81" i="16"/>
  <c r="O81" i="16"/>
  <c r="P81" i="16"/>
  <c r="Q81" i="16"/>
  <c r="R81" i="16"/>
  <c r="S81" i="16"/>
  <c r="T81" i="16"/>
  <c r="U81" i="16"/>
  <c r="V81" i="16"/>
  <c r="W81" i="16"/>
  <c r="X81" i="16"/>
  <c r="Y81" i="16"/>
  <c r="Z81" i="16"/>
  <c r="AA81" i="16"/>
  <c r="AB81" i="16"/>
  <c r="AC81" i="16"/>
  <c r="C82" i="16"/>
  <c r="D82" i="16"/>
  <c r="E82" i="16"/>
  <c r="F82" i="16"/>
  <c r="G82" i="16"/>
  <c r="H82" i="16"/>
  <c r="I82" i="16"/>
  <c r="J82" i="16"/>
  <c r="K82" i="16"/>
  <c r="L82" i="16"/>
  <c r="M82" i="16"/>
  <c r="N82" i="16"/>
  <c r="S82" i="16"/>
  <c r="W82" i="16"/>
  <c r="X82" i="16"/>
  <c r="Y82" i="16"/>
  <c r="AA82" i="16"/>
  <c r="AB82" i="16"/>
  <c r="AC82" i="16"/>
  <c r="D92" i="16"/>
  <c r="D93" i="16" s="1"/>
  <c r="D106" i="16" s="1"/>
  <c r="E92" i="16"/>
  <c r="E93" i="16" s="1"/>
  <c r="E106" i="16" s="1"/>
  <c r="F92" i="16"/>
  <c r="F93" i="16" s="1"/>
  <c r="F106" i="16" s="1"/>
  <c r="G92" i="16"/>
  <c r="H92" i="16"/>
  <c r="H93" i="16" s="1"/>
  <c r="H106" i="16" s="1"/>
  <c r="I92" i="16"/>
  <c r="I93" i="16" s="1"/>
  <c r="I106" i="16" s="1"/>
  <c r="J92" i="16"/>
  <c r="J93" i="16" s="1"/>
  <c r="L92" i="16"/>
  <c r="L93" i="16" s="1"/>
  <c r="L106" i="16" s="1"/>
  <c r="M92" i="16"/>
  <c r="M93" i="16" s="1"/>
  <c r="M106" i="16" s="1"/>
  <c r="N92" i="16"/>
  <c r="N93" i="16" s="1"/>
  <c r="N106" i="16" s="1"/>
  <c r="P92" i="16"/>
  <c r="P93" i="16" s="1"/>
  <c r="Q92" i="16"/>
  <c r="Q93" i="16" s="1"/>
  <c r="R92" i="16"/>
  <c r="R93" i="16" s="1"/>
  <c r="T92" i="16"/>
  <c r="T93" i="16" s="1"/>
  <c r="U92" i="16"/>
  <c r="U93" i="16" s="1"/>
  <c r="V92" i="16"/>
  <c r="V93" i="16" s="1"/>
  <c r="X92" i="16"/>
  <c r="X93" i="16" s="1"/>
  <c r="Y92" i="16"/>
  <c r="Y93" i="16" s="1"/>
  <c r="Z92" i="16"/>
  <c r="Z93" i="16" s="1"/>
  <c r="AB92" i="16"/>
  <c r="AB93" i="16" s="1"/>
  <c r="AC92" i="16"/>
  <c r="AC93" i="16" s="1"/>
  <c r="C68" i="1"/>
  <c r="C75" i="1"/>
  <c r="C103" i="1"/>
  <c r="C104" i="1" s="1"/>
  <c r="D68" i="1"/>
  <c r="D75" i="1"/>
  <c r="D103" i="1"/>
  <c r="D104" i="1" s="1"/>
  <c r="E68" i="1"/>
  <c r="E76" i="1" s="1"/>
  <c r="E75" i="1"/>
  <c r="E103" i="1"/>
  <c r="E104" i="1" s="1"/>
  <c r="F68" i="1"/>
  <c r="F75" i="1"/>
  <c r="F103" i="1"/>
  <c r="F104" i="1" s="1"/>
  <c r="G68" i="1"/>
  <c r="G75" i="1"/>
  <c r="G103" i="1"/>
  <c r="G104" i="1" s="1"/>
  <c r="H68" i="1"/>
  <c r="H75" i="1"/>
  <c r="H103" i="1"/>
  <c r="H104" i="1" s="1"/>
  <c r="I68" i="1"/>
  <c r="I75" i="1"/>
  <c r="I95" i="1"/>
  <c r="O95" i="16" s="1"/>
  <c r="O24" i="16" s="1"/>
  <c r="I97" i="1"/>
  <c r="I103" i="1"/>
  <c r="J68" i="1"/>
  <c r="J75" i="1"/>
  <c r="J103" i="1"/>
  <c r="J104" i="1" s="1"/>
  <c r="K68" i="1"/>
  <c r="K75" i="1"/>
  <c r="K103" i="1"/>
  <c r="K104" i="1" s="1"/>
  <c r="L65" i="1"/>
  <c r="L68" i="1"/>
  <c r="L75" i="1"/>
  <c r="L103" i="1"/>
  <c r="L104" i="1" s="1"/>
  <c r="C38" i="1"/>
  <c r="C40" i="1" s="1"/>
  <c r="C36" i="1" s="1"/>
  <c r="D38" i="1"/>
  <c r="D40" i="1" s="1"/>
  <c r="D36" i="1" s="1"/>
  <c r="E26" i="11" s="1"/>
  <c r="E38" i="1"/>
  <c r="E40" i="1" s="1"/>
  <c r="E36" i="1" s="1"/>
  <c r="F38" i="1"/>
  <c r="F40" i="1" s="1"/>
  <c r="F36" i="1" s="1"/>
  <c r="G38" i="1"/>
  <c r="G40" i="1" s="1"/>
  <c r="G36" i="1" s="1"/>
  <c r="H38" i="1"/>
  <c r="H40" i="1" s="1"/>
  <c r="H36" i="1" s="1"/>
  <c r="H9" i="1" s="1"/>
  <c r="H53" i="6" s="1"/>
  <c r="H54" i="6" s="1"/>
  <c r="I38" i="1"/>
  <c r="I40" i="1" s="1"/>
  <c r="J38" i="1"/>
  <c r="J40" i="1" s="1"/>
  <c r="J9" i="1" s="1"/>
  <c r="J53" i="6" s="1"/>
  <c r="J54" i="6" s="1"/>
  <c r="K38" i="1"/>
  <c r="K40" i="1"/>
  <c r="K9" i="1" s="1"/>
  <c r="K53" i="6" s="1"/>
  <c r="K54" i="6" s="1"/>
  <c r="L38" i="1"/>
  <c r="L40" i="1" s="1"/>
  <c r="C12" i="1"/>
  <c r="D12" i="1"/>
  <c r="E12" i="1"/>
  <c r="F12" i="1"/>
  <c r="G12" i="1"/>
  <c r="H12" i="1"/>
  <c r="I12" i="1"/>
  <c r="J12" i="1"/>
  <c r="K12" i="1"/>
  <c r="L12" i="1"/>
  <c r="C13" i="1"/>
  <c r="D13" i="1"/>
  <c r="E13" i="1"/>
  <c r="F13" i="1"/>
  <c r="G13" i="1"/>
  <c r="H13" i="1"/>
  <c r="I13" i="1"/>
  <c r="J13" i="1"/>
  <c r="K13" i="1"/>
  <c r="L13" i="1"/>
  <c r="C18" i="1"/>
  <c r="C19" i="1"/>
  <c r="C20" i="1"/>
  <c r="D18" i="1"/>
  <c r="D16" i="1" s="1"/>
  <c r="D19" i="1"/>
  <c r="D20" i="1"/>
  <c r="E18" i="1"/>
  <c r="E16" i="1" s="1"/>
  <c r="E19" i="1"/>
  <c r="E20" i="1"/>
  <c r="F18" i="1"/>
  <c r="F16" i="1" s="1"/>
  <c r="F19" i="1"/>
  <c r="F20" i="1"/>
  <c r="G18" i="1"/>
  <c r="G16" i="1" s="1"/>
  <c r="G19" i="1"/>
  <c r="G20" i="1"/>
  <c r="H18" i="1"/>
  <c r="H19" i="1"/>
  <c r="H20" i="1"/>
  <c r="I18" i="1"/>
  <c r="I16" i="1" s="1"/>
  <c r="I19" i="1"/>
  <c r="I20" i="1"/>
  <c r="J18" i="1"/>
  <c r="J16" i="1" s="1"/>
  <c r="J19" i="1"/>
  <c r="J20" i="1"/>
  <c r="K18" i="1"/>
  <c r="K19" i="1"/>
  <c r="K20" i="1"/>
  <c r="L18" i="1"/>
  <c r="L16" i="1" s="1"/>
  <c r="L19" i="1"/>
  <c r="L20" i="1"/>
  <c r="C22" i="1"/>
  <c r="D22" i="1"/>
  <c r="E22" i="1"/>
  <c r="F22" i="1"/>
  <c r="G22" i="1"/>
  <c r="H22" i="1"/>
  <c r="I22" i="1"/>
  <c r="J22" i="1"/>
  <c r="K22" i="1"/>
  <c r="L22" i="1"/>
  <c r="C23" i="1"/>
  <c r="D23" i="1"/>
  <c r="E23" i="1"/>
  <c r="F23" i="1"/>
  <c r="G23" i="1"/>
  <c r="H23" i="1"/>
  <c r="I23" i="1"/>
  <c r="J23" i="1"/>
  <c r="K23" i="1"/>
  <c r="C24" i="1"/>
  <c r="D24" i="1"/>
  <c r="E24" i="1"/>
  <c r="F24" i="1"/>
  <c r="G24" i="1"/>
  <c r="H24" i="1"/>
  <c r="I24" i="1"/>
  <c r="J24" i="1"/>
  <c r="K24" i="1"/>
  <c r="L24" i="1"/>
  <c r="C26" i="1"/>
  <c r="D26" i="1"/>
  <c r="E26" i="1"/>
  <c r="F26" i="1"/>
  <c r="G26" i="1"/>
  <c r="H26" i="1"/>
  <c r="I26" i="1"/>
  <c r="J26" i="1"/>
  <c r="K26" i="1"/>
  <c r="L26" i="1"/>
  <c r="D29" i="1"/>
  <c r="E29" i="1"/>
  <c r="F29" i="1"/>
  <c r="G29" i="1"/>
  <c r="H29" i="1"/>
  <c r="I29" i="1"/>
  <c r="J29" i="1"/>
  <c r="K29" i="1"/>
  <c r="L29" i="1"/>
  <c r="C111" i="1"/>
  <c r="C114" i="1"/>
  <c r="D111" i="1"/>
  <c r="D114" i="1"/>
  <c r="E111" i="1"/>
  <c r="E114" i="1"/>
  <c r="F111" i="1"/>
  <c r="F114" i="1"/>
  <c r="G111" i="1"/>
  <c r="G115" i="1" s="1"/>
  <c r="G32" i="1" s="1"/>
  <c r="G114" i="1"/>
  <c r="H111" i="1"/>
  <c r="H114" i="1"/>
  <c r="I111" i="1"/>
  <c r="I114" i="1"/>
  <c r="J111" i="1"/>
  <c r="J114" i="1"/>
  <c r="K111" i="1"/>
  <c r="K114" i="1"/>
  <c r="K115" i="1" s="1"/>
  <c r="L111" i="1"/>
  <c r="L114" i="1"/>
  <c r="C33" i="1"/>
  <c r="C35" i="1" s="1"/>
  <c r="D33" i="1"/>
  <c r="D35" i="1" s="1"/>
  <c r="E33" i="1"/>
  <c r="E35" i="1" s="1"/>
  <c r="F33" i="1"/>
  <c r="G33" i="1"/>
  <c r="G35" i="1" s="1"/>
  <c r="H33" i="1"/>
  <c r="H35" i="1" s="1"/>
  <c r="I33" i="1"/>
  <c r="I35" i="1" s="1"/>
  <c r="J33" i="1"/>
  <c r="J35" i="1" s="1"/>
  <c r="K33" i="1"/>
  <c r="K35" i="1" s="1"/>
  <c r="L33" i="1"/>
  <c r="L35" i="1" s="1"/>
  <c r="F35" i="1"/>
  <c r="C44" i="1"/>
  <c r="D44" i="1"/>
  <c r="E44" i="1"/>
  <c r="F44" i="1"/>
  <c r="G44" i="1"/>
  <c r="H44" i="1"/>
  <c r="I44" i="1"/>
  <c r="J44" i="1"/>
  <c r="K44" i="1"/>
  <c r="L44" i="1"/>
  <c r="C45" i="1"/>
  <c r="D45" i="1"/>
  <c r="E45" i="1"/>
  <c r="F45" i="1"/>
  <c r="G45" i="1"/>
  <c r="H45" i="1"/>
  <c r="I45" i="1"/>
  <c r="J45" i="1"/>
  <c r="K45" i="1"/>
  <c r="L45" i="1"/>
  <c r="C57" i="1"/>
  <c r="C63" i="1" s="1"/>
  <c r="D57" i="1"/>
  <c r="D63" i="1" s="1"/>
  <c r="E57" i="1"/>
  <c r="E63" i="1" s="1"/>
  <c r="F57" i="1"/>
  <c r="G57" i="1"/>
  <c r="H57" i="1"/>
  <c r="I57" i="1"/>
  <c r="J57" i="1"/>
  <c r="K57" i="1"/>
  <c r="K63" i="1" s="1"/>
  <c r="L57" i="1"/>
  <c r="C61" i="1"/>
  <c r="D61" i="1"/>
  <c r="E61" i="1"/>
  <c r="F61" i="1"/>
  <c r="G61" i="1"/>
  <c r="H61" i="1"/>
  <c r="I61" i="1"/>
  <c r="J61" i="1"/>
  <c r="K61" i="1"/>
  <c r="L61" i="1"/>
  <c r="C81" i="1"/>
  <c r="D81" i="1"/>
  <c r="E81" i="1"/>
  <c r="F81" i="1"/>
  <c r="G81" i="1"/>
  <c r="H81" i="1"/>
  <c r="I81" i="1"/>
  <c r="J81" i="1"/>
  <c r="K81" i="1"/>
  <c r="L81" i="1"/>
  <c r="C82" i="1"/>
  <c r="D82" i="1"/>
  <c r="E82" i="1"/>
  <c r="F82" i="1"/>
  <c r="G82" i="1"/>
  <c r="H82" i="1"/>
  <c r="J82" i="1"/>
  <c r="K82" i="1"/>
  <c r="L82" i="1"/>
  <c r="C92" i="1"/>
  <c r="C93" i="1" s="1"/>
  <c r="D92" i="1"/>
  <c r="D93" i="1" s="1"/>
  <c r="D106" i="1" s="1"/>
  <c r="E92" i="1"/>
  <c r="E93" i="1" s="1"/>
  <c r="F92" i="1"/>
  <c r="F93" i="1" s="1"/>
  <c r="G92" i="1"/>
  <c r="G93" i="1" s="1"/>
  <c r="H92" i="1"/>
  <c r="H93" i="1" s="1"/>
  <c r="I92" i="1"/>
  <c r="I93" i="1" s="1"/>
  <c r="J92" i="1"/>
  <c r="J93" i="1" s="1"/>
  <c r="K92" i="1"/>
  <c r="K93" i="1" s="1"/>
  <c r="L92" i="1"/>
  <c r="L93" i="1" s="1"/>
  <c r="AE7" i="15"/>
  <c r="AE25" i="15" s="1"/>
  <c r="AG7" i="15"/>
  <c r="AG25" i="15" s="1"/>
  <c r="AN7" i="15" s="1"/>
  <c r="AN25" i="15" s="1"/>
  <c r="AU7" i="15" s="1"/>
  <c r="AU25" i="15" s="1"/>
  <c r="AI7" i="15"/>
  <c r="AI25" i="15" s="1"/>
  <c r="AL7" i="15"/>
  <c r="AL25" i="15" s="1"/>
  <c r="AP7" i="15"/>
  <c r="AP25" i="15" s="1"/>
  <c r="AW7" i="15" s="1"/>
  <c r="AW25" i="15" s="1"/>
  <c r="AS7" i="15"/>
  <c r="AS25" i="15" s="1"/>
  <c r="D9" i="15"/>
  <c r="F9" i="15"/>
  <c r="I9" i="15"/>
  <c r="H9" i="15"/>
  <c r="K9" i="15"/>
  <c r="M9" i="15"/>
  <c r="P9" i="15"/>
  <c r="O9" i="15"/>
  <c r="R9" i="15"/>
  <c r="T9" i="15"/>
  <c r="W9" i="15"/>
  <c r="V9" i="15"/>
  <c r="Y9" i="15"/>
  <c r="AA9" i="15"/>
  <c r="AD9" i="15"/>
  <c r="AC9" i="15"/>
  <c r="AF9" i="15"/>
  <c r="AH9" i="15"/>
  <c r="AK9" i="15"/>
  <c r="AJ9" i="15"/>
  <c r="AM9" i="15"/>
  <c r="AO9" i="15"/>
  <c r="AR9" i="15"/>
  <c r="AQ9" i="15"/>
  <c r="AT9" i="15"/>
  <c r="D11" i="15"/>
  <c r="F11" i="15"/>
  <c r="I11" i="15"/>
  <c r="H11" i="15"/>
  <c r="K11" i="15"/>
  <c r="M11" i="15"/>
  <c r="P11" i="15"/>
  <c r="O11" i="15"/>
  <c r="R11" i="15"/>
  <c r="T11" i="15"/>
  <c r="W11" i="15"/>
  <c r="V11" i="15"/>
  <c r="Y11" i="15"/>
  <c r="AA11" i="15"/>
  <c r="AD11" i="15"/>
  <c r="AC11" i="15"/>
  <c r="AF11" i="15"/>
  <c r="AH11" i="15"/>
  <c r="AK11" i="15"/>
  <c r="AJ11" i="15"/>
  <c r="AM11" i="15"/>
  <c r="AO11" i="15"/>
  <c r="AR11" i="15"/>
  <c r="AQ11" i="15"/>
  <c r="AT11" i="15"/>
  <c r="D13" i="15"/>
  <c r="F13" i="15"/>
  <c r="I13" i="15"/>
  <c r="H13" i="15"/>
  <c r="K13" i="15"/>
  <c r="M13" i="15"/>
  <c r="P13" i="15"/>
  <c r="O13" i="15"/>
  <c r="R13" i="15"/>
  <c r="T13" i="15"/>
  <c r="W13" i="15"/>
  <c r="V13" i="15"/>
  <c r="Y13" i="15"/>
  <c r="AA13" i="15"/>
  <c r="AD13" i="15"/>
  <c r="AC13" i="15"/>
  <c r="AF13" i="15"/>
  <c r="AH13" i="15"/>
  <c r="AK13" i="15"/>
  <c r="AJ13" i="15"/>
  <c r="AM13" i="15"/>
  <c r="AO13" i="15"/>
  <c r="AR13" i="15"/>
  <c r="AQ13" i="15"/>
  <c r="AT13" i="15"/>
  <c r="C15" i="15"/>
  <c r="E15" i="15"/>
  <c r="G15" i="15"/>
  <c r="J15" i="15"/>
  <c r="L15" i="15"/>
  <c r="N15" i="15"/>
  <c r="Q15" i="15"/>
  <c r="S15" i="15"/>
  <c r="U15" i="15"/>
  <c r="D17" i="15"/>
  <c r="F17" i="15"/>
  <c r="I17" i="15"/>
  <c r="H17" i="15"/>
  <c r="K17" i="15"/>
  <c r="M17" i="15"/>
  <c r="P17" i="15"/>
  <c r="O17" i="15"/>
  <c r="R17" i="15"/>
  <c r="T17" i="15"/>
  <c r="W17" i="15"/>
  <c r="V17" i="15"/>
  <c r="Y17" i="15"/>
  <c r="AA17" i="15"/>
  <c r="AD17" i="15"/>
  <c r="AC17" i="15"/>
  <c r="AF17" i="15"/>
  <c r="AH17" i="15"/>
  <c r="AK17" i="15"/>
  <c r="AJ17" i="15"/>
  <c r="AM17" i="15"/>
  <c r="AO17" i="15"/>
  <c r="AR17" i="15"/>
  <c r="AQ17" i="15"/>
  <c r="AT17" i="15"/>
  <c r="D19" i="15"/>
  <c r="F19" i="15"/>
  <c r="I19" i="15"/>
  <c r="H19" i="15"/>
  <c r="K19" i="15"/>
  <c r="M19" i="15"/>
  <c r="P19" i="15"/>
  <c r="O19" i="15"/>
  <c r="R19" i="15"/>
  <c r="T19" i="15"/>
  <c r="W19" i="15"/>
  <c r="V19" i="15"/>
  <c r="Y19" i="15"/>
  <c r="AA19" i="15"/>
  <c r="AD19" i="15"/>
  <c r="AC19" i="15"/>
  <c r="AF19" i="15"/>
  <c r="AH19" i="15"/>
  <c r="AK19" i="15"/>
  <c r="AJ19" i="15"/>
  <c r="AM19" i="15"/>
  <c r="AO19" i="15"/>
  <c r="AR19" i="15"/>
  <c r="AQ19" i="15"/>
  <c r="AT19" i="15"/>
  <c r="D21" i="15"/>
  <c r="F21" i="15"/>
  <c r="I21" i="15"/>
  <c r="H21" i="15"/>
  <c r="K21" i="15"/>
  <c r="M21" i="15"/>
  <c r="P21" i="15"/>
  <c r="O21" i="15"/>
  <c r="R21" i="15"/>
  <c r="T21" i="15"/>
  <c r="W21" i="15"/>
  <c r="V21" i="15"/>
  <c r="Y21" i="15"/>
  <c r="AA21" i="15"/>
  <c r="AD21" i="15"/>
  <c r="AC21" i="15"/>
  <c r="AF21" i="15"/>
  <c r="AH21" i="15"/>
  <c r="AK21" i="15"/>
  <c r="AJ21" i="15"/>
  <c r="AM21" i="15"/>
  <c r="AO21" i="15"/>
  <c r="AR21" i="15"/>
  <c r="AQ21" i="15"/>
  <c r="AT21" i="15"/>
  <c r="D23" i="15"/>
  <c r="F23" i="15"/>
  <c r="I23" i="15"/>
  <c r="H23" i="15" s="1"/>
  <c r="K23" i="15"/>
  <c r="M23" i="15"/>
  <c r="P23" i="15"/>
  <c r="O23" i="15" s="1"/>
  <c r="R23" i="15"/>
  <c r="T23" i="15"/>
  <c r="W23" i="15"/>
  <c r="V23" i="15" s="1"/>
  <c r="Y23" i="15"/>
  <c r="AA23" i="15"/>
  <c r="AD23" i="15"/>
  <c r="AC23" i="15" s="1"/>
  <c r="AF23" i="15"/>
  <c r="AH23" i="15"/>
  <c r="AK23" i="15"/>
  <c r="AJ23" i="15" s="1"/>
  <c r="AM23" i="15"/>
  <c r="AO23" i="15"/>
  <c r="AR23" i="15"/>
  <c r="AQ23" i="15" s="1"/>
  <c r="AT23" i="15"/>
  <c r="J7" i="10"/>
  <c r="K7" i="10"/>
  <c r="K25" i="10" s="1"/>
  <c r="C15" i="10"/>
  <c r="D15" i="10"/>
  <c r="E15" i="10"/>
  <c r="F15" i="10"/>
  <c r="G15" i="10"/>
  <c r="H15" i="10"/>
  <c r="J25" i="10"/>
  <c r="I7" i="13"/>
  <c r="P7" i="13"/>
  <c r="W7" i="13"/>
  <c r="AD7" i="13"/>
  <c r="AK7" i="13"/>
  <c r="AR7" i="13"/>
  <c r="AY7" i="13"/>
  <c r="I9" i="13"/>
  <c r="P9" i="13"/>
  <c r="W9" i="13"/>
  <c r="AD9" i="13"/>
  <c r="AK9" i="13"/>
  <c r="AR9" i="13"/>
  <c r="AY9" i="13"/>
  <c r="I11" i="13"/>
  <c r="P11" i="13"/>
  <c r="W11" i="13"/>
  <c r="AD11" i="13"/>
  <c r="AK11" i="13"/>
  <c r="AR11" i="13"/>
  <c r="AY11" i="13"/>
  <c r="I13" i="13"/>
  <c r="P13" i="13"/>
  <c r="W13" i="13"/>
  <c r="AD13" i="13"/>
  <c r="AK13" i="13"/>
  <c r="AR13" i="13"/>
  <c r="AY13" i="13"/>
  <c r="J15" i="13"/>
  <c r="K15" i="13"/>
  <c r="L15" i="13"/>
  <c r="M15" i="13"/>
  <c r="N15" i="13"/>
  <c r="O15" i="13"/>
  <c r="Q15" i="13"/>
  <c r="R15" i="13"/>
  <c r="S15" i="13"/>
  <c r="T15" i="13"/>
  <c r="U15" i="13"/>
  <c r="V15" i="13"/>
  <c r="X15" i="13"/>
  <c r="Y15" i="13"/>
  <c r="Z15" i="13"/>
  <c r="AA15" i="13"/>
  <c r="AB15" i="13"/>
  <c r="AC15" i="13"/>
  <c r="AE15" i="13"/>
  <c r="AF15" i="13"/>
  <c r="AG15" i="13"/>
  <c r="AH15" i="13"/>
  <c r="AI15" i="13"/>
  <c r="AJ15" i="13"/>
  <c r="AL15" i="13"/>
  <c r="AM15" i="13"/>
  <c r="AN15" i="13"/>
  <c r="AO15" i="13"/>
  <c r="AP15" i="13"/>
  <c r="AQ15" i="13"/>
  <c r="AS15" i="13"/>
  <c r="AT15" i="13"/>
  <c r="AU15" i="13"/>
  <c r="AV15" i="13"/>
  <c r="AW15" i="13"/>
  <c r="AX15" i="13"/>
  <c r="AZ15" i="13"/>
  <c r="BA15" i="13"/>
  <c r="BB15" i="13"/>
  <c r="I18" i="13"/>
  <c r="J18" i="13"/>
  <c r="K18" i="13"/>
  <c r="L18" i="13"/>
  <c r="M18" i="13"/>
  <c r="N18" i="13"/>
  <c r="O18" i="13"/>
  <c r="P18" i="13"/>
  <c r="Q18" i="13"/>
  <c r="R18" i="13"/>
  <c r="S18" i="13"/>
  <c r="T18" i="13"/>
  <c r="U18" i="13"/>
  <c r="V18" i="13"/>
  <c r="W18" i="13"/>
  <c r="X18" i="13"/>
  <c r="Y18" i="13"/>
  <c r="Z18" i="13"/>
  <c r="AA18" i="13"/>
  <c r="AB18" i="13"/>
  <c r="AC18" i="13"/>
  <c r="AD18" i="13"/>
  <c r="AE18" i="13"/>
  <c r="AF18" i="13"/>
  <c r="AG18" i="13"/>
  <c r="AH18" i="13"/>
  <c r="AI18" i="13"/>
  <c r="AL18" i="13"/>
  <c r="AM18" i="13"/>
  <c r="AN18" i="13"/>
  <c r="AO18" i="13"/>
  <c r="AP18" i="13"/>
  <c r="AS18" i="13"/>
  <c r="AT18" i="13"/>
  <c r="AV18" i="13"/>
  <c r="AW18" i="13"/>
  <c r="AZ18" i="13"/>
  <c r="BA18" i="13"/>
  <c r="I19" i="13"/>
  <c r="J19" i="13"/>
  <c r="K19" i="13"/>
  <c r="L19" i="13"/>
  <c r="M19" i="13"/>
  <c r="N19" i="13"/>
  <c r="O19" i="13"/>
  <c r="P19" i="13"/>
  <c r="Q19" i="13"/>
  <c r="R19" i="13"/>
  <c r="S19" i="13"/>
  <c r="T19" i="13"/>
  <c r="U19" i="13"/>
  <c r="V19" i="13"/>
  <c r="W19" i="13"/>
  <c r="X19" i="13"/>
  <c r="Y19" i="13"/>
  <c r="Z19" i="13"/>
  <c r="AA19" i="13"/>
  <c r="AB19" i="13"/>
  <c r="AC19" i="13"/>
  <c r="AD19" i="13"/>
  <c r="AE19" i="13"/>
  <c r="AF19" i="13"/>
  <c r="AG19" i="13"/>
  <c r="AH19" i="13"/>
  <c r="AI19" i="13"/>
  <c r="AL19" i="13"/>
  <c r="AM19" i="13"/>
  <c r="AN19" i="13"/>
  <c r="AO19" i="13"/>
  <c r="AP19" i="13"/>
  <c r="AS19" i="13"/>
  <c r="AT19" i="13"/>
  <c r="AV19" i="13"/>
  <c r="AW19" i="13"/>
  <c r="AZ19" i="13"/>
  <c r="BA19" i="13"/>
  <c r="D21" i="13"/>
  <c r="F21" i="13"/>
  <c r="H21" i="13"/>
  <c r="K21" i="13"/>
  <c r="M21" i="13"/>
  <c r="O21" i="13"/>
  <c r="R21" i="13"/>
  <c r="T21" i="13"/>
  <c r="W21" i="13"/>
  <c r="Y21" i="13"/>
  <c r="AA21" i="13"/>
  <c r="AD21" i="13"/>
  <c r="AC21" i="13" s="1"/>
  <c r="AF21" i="13"/>
  <c r="AH21" i="13"/>
  <c r="AM21" i="13"/>
  <c r="AO21" i="13"/>
  <c r="AT21" i="13"/>
  <c r="AV21" i="13"/>
  <c r="BA21" i="13"/>
  <c r="C63" i="13"/>
  <c r="C36" i="13" s="1"/>
  <c r="E63" i="13"/>
  <c r="G63" i="13"/>
  <c r="G36" i="13" s="1"/>
  <c r="I45" i="13"/>
  <c r="H45" i="13" s="1"/>
  <c r="I48" i="13"/>
  <c r="H48" i="13" s="1"/>
  <c r="I54" i="13"/>
  <c r="I51" i="13"/>
  <c r="I57" i="13"/>
  <c r="H57" i="13" s="1"/>
  <c r="I60" i="13"/>
  <c r="H60" i="13" s="1"/>
  <c r="J63" i="13"/>
  <c r="J36" i="13" s="1"/>
  <c r="L63" i="13"/>
  <c r="N63" i="13"/>
  <c r="N36" i="13" s="1"/>
  <c r="P45" i="13"/>
  <c r="P48" i="13"/>
  <c r="O48" i="13" s="1"/>
  <c r="P54" i="13"/>
  <c r="P51" i="13"/>
  <c r="O51" i="13" s="1"/>
  <c r="P57" i="13"/>
  <c r="O57" i="13" s="1"/>
  <c r="P60" i="13"/>
  <c r="O60" i="13" s="1"/>
  <c r="Q36" i="13"/>
  <c r="Q22" i="13" s="1"/>
  <c r="R24" i="13"/>
  <c r="R27" i="13"/>
  <c r="R30" i="13"/>
  <c r="R33" i="13"/>
  <c r="S36" i="13"/>
  <c r="S22" i="13" s="1"/>
  <c r="T24" i="13"/>
  <c r="T27" i="13"/>
  <c r="T30" i="13"/>
  <c r="T33" i="13"/>
  <c r="U36" i="13"/>
  <c r="U22" i="13" s="1"/>
  <c r="W24" i="13"/>
  <c r="V24" i="13" s="1"/>
  <c r="W27" i="13"/>
  <c r="V27" i="13"/>
  <c r="W30" i="13"/>
  <c r="V30" i="13" s="1"/>
  <c r="W33" i="13"/>
  <c r="V33" i="13" s="1"/>
  <c r="X36" i="13"/>
  <c r="X28" i="13" s="1"/>
  <c r="Y24" i="13"/>
  <c r="Y27" i="13"/>
  <c r="Y30" i="13"/>
  <c r="Y33" i="13"/>
  <c r="Z36" i="13"/>
  <c r="Z25" i="13" s="1"/>
  <c r="AA24" i="13"/>
  <c r="AA27" i="13"/>
  <c r="AA30" i="13"/>
  <c r="AA33" i="13"/>
  <c r="AB36" i="13"/>
  <c r="AB22" i="13" s="1"/>
  <c r="AD24" i="13"/>
  <c r="AC24" i="13" s="1"/>
  <c r="AD27" i="13"/>
  <c r="AC27" i="13" s="1"/>
  <c r="AD30" i="13"/>
  <c r="AC30" i="13" s="1"/>
  <c r="AD33" i="13"/>
  <c r="AC33" i="13" s="1"/>
  <c r="AE36" i="13"/>
  <c r="AE22" i="13" s="1"/>
  <c r="AF24" i="13"/>
  <c r="AF27" i="13"/>
  <c r="AF30" i="13"/>
  <c r="AF33" i="13"/>
  <c r="AG36" i="13"/>
  <c r="AG22" i="13" s="1"/>
  <c r="AH24" i="13"/>
  <c r="AH36" i="13" s="1"/>
  <c r="AH34" i="13" s="1"/>
  <c r="AH27" i="13"/>
  <c r="AH30" i="13"/>
  <c r="AH33" i="13"/>
  <c r="AI36" i="13"/>
  <c r="AI22" i="13" s="1"/>
  <c r="AL36" i="13"/>
  <c r="AL34" i="13" s="1"/>
  <c r="AM24" i="13"/>
  <c r="AM27" i="13"/>
  <c r="AM30" i="13"/>
  <c r="AM33" i="13"/>
  <c r="AN36" i="13"/>
  <c r="AN31" i="13" s="1"/>
  <c r="AO24" i="13"/>
  <c r="AO27" i="13"/>
  <c r="AO30" i="13"/>
  <c r="AO33" i="13"/>
  <c r="AP36" i="13"/>
  <c r="AP28" i="13" s="1"/>
  <c r="AS36" i="13"/>
  <c r="AS22" i="13" s="1"/>
  <c r="AT24" i="13"/>
  <c r="AT27" i="13"/>
  <c r="AT30" i="13"/>
  <c r="AT33" i="13"/>
  <c r="AV24" i="13"/>
  <c r="AV27" i="13"/>
  <c r="AV30" i="13"/>
  <c r="AV33" i="13"/>
  <c r="AW36" i="13"/>
  <c r="AW34" i="13" s="1"/>
  <c r="AZ36" i="13"/>
  <c r="AZ22" i="13" s="1"/>
  <c r="BA24" i="13"/>
  <c r="BA27" i="13"/>
  <c r="BA30" i="13"/>
  <c r="BA33" i="13"/>
  <c r="D24" i="13"/>
  <c r="F24" i="13"/>
  <c r="H24" i="13"/>
  <c r="K24" i="13"/>
  <c r="M24" i="13"/>
  <c r="O24" i="13"/>
  <c r="Q25" i="13"/>
  <c r="U25" i="13"/>
  <c r="X25" i="13"/>
  <c r="AE25" i="13"/>
  <c r="AL25" i="13"/>
  <c r="D27" i="13"/>
  <c r="F27" i="13"/>
  <c r="H27" i="13"/>
  <c r="K27" i="13"/>
  <c r="M27" i="13"/>
  <c r="O27" i="13"/>
  <c r="Q28" i="13"/>
  <c r="U28" i="13"/>
  <c r="AE28" i="13"/>
  <c r="AG28" i="13"/>
  <c r="AL28" i="13"/>
  <c r="D30" i="13"/>
  <c r="F30" i="13"/>
  <c r="H30" i="13"/>
  <c r="K30" i="13"/>
  <c r="M30" i="13"/>
  <c r="O30" i="13"/>
  <c r="Q31" i="13"/>
  <c r="U31" i="13"/>
  <c r="X31" i="13"/>
  <c r="AE31" i="13"/>
  <c r="AG31" i="13"/>
  <c r="AI31" i="13"/>
  <c r="AL31" i="13"/>
  <c r="D33" i="13"/>
  <c r="F33" i="13"/>
  <c r="H33" i="13"/>
  <c r="K33" i="13"/>
  <c r="M33" i="13"/>
  <c r="O33" i="13"/>
  <c r="Q34" i="13"/>
  <c r="U34" i="13"/>
  <c r="X34" i="13"/>
  <c r="AE34" i="13"/>
  <c r="AG34" i="13"/>
  <c r="AP34" i="13"/>
  <c r="Q38" i="13"/>
  <c r="U38" i="13"/>
  <c r="X38" i="13"/>
  <c r="AE38" i="13"/>
  <c r="AG38" i="13"/>
  <c r="AL38" i="13"/>
  <c r="Q39" i="13"/>
  <c r="U39" i="13"/>
  <c r="X39" i="13"/>
  <c r="AB39" i="13"/>
  <c r="AE39" i="13"/>
  <c r="AG39" i="13"/>
  <c r="AL39" i="13"/>
  <c r="I42" i="13"/>
  <c r="J42" i="13"/>
  <c r="K42" i="13"/>
  <c r="L42" i="13"/>
  <c r="M42" i="13"/>
  <c r="N42" i="13"/>
  <c r="O42" i="13"/>
  <c r="P42" i="13"/>
  <c r="Q42" i="13"/>
  <c r="R42" i="13"/>
  <c r="S42" i="13"/>
  <c r="T42" i="13"/>
  <c r="U42" i="13"/>
  <c r="V42" i="13"/>
  <c r="W42" i="13"/>
  <c r="X42" i="13"/>
  <c r="Y42" i="13"/>
  <c r="Z42" i="13"/>
  <c r="AA42" i="13"/>
  <c r="AB42" i="13"/>
  <c r="AC42" i="13"/>
  <c r="AD42" i="13"/>
  <c r="AE42" i="13"/>
  <c r="AF42" i="13"/>
  <c r="AG42" i="13"/>
  <c r="AH42" i="13"/>
  <c r="AI42" i="13"/>
  <c r="AL42" i="13"/>
  <c r="AM42" i="13"/>
  <c r="AN42" i="13"/>
  <c r="AO42" i="13"/>
  <c r="AP42" i="13"/>
  <c r="AS42" i="13"/>
  <c r="AT42" i="13"/>
  <c r="AV42" i="13"/>
  <c r="AW42" i="13"/>
  <c r="AZ42" i="13"/>
  <c r="BA42" i="13"/>
  <c r="I43" i="13"/>
  <c r="J43" i="13"/>
  <c r="L43" i="13"/>
  <c r="N43" i="13"/>
  <c r="O43" i="13"/>
  <c r="P43" i="13"/>
  <c r="Q43" i="13"/>
  <c r="R43" i="13"/>
  <c r="S43" i="13"/>
  <c r="T43" i="13"/>
  <c r="U43" i="13"/>
  <c r="V43" i="13"/>
  <c r="W43" i="13"/>
  <c r="X43" i="13"/>
  <c r="Y43" i="13"/>
  <c r="Z43" i="13"/>
  <c r="AA43" i="13"/>
  <c r="AB43" i="13"/>
  <c r="AC43" i="13"/>
  <c r="AD43" i="13"/>
  <c r="AE43" i="13"/>
  <c r="AF43" i="13"/>
  <c r="AG43" i="13"/>
  <c r="AH43" i="13"/>
  <c r="AI43" i="13"/>
  <c r="AL43" i="13"/>
  <c r="AM43" i="13"/>
  <c r="AN43" i="13"/>
  <c r="AO43" i="13"/>
  <c r="AP43" i="13"/>
  <c r="AS43" i="13"/>
  <c r="AT43" i="13"/>
  <c r="AV43" i="13"/>
  <c r="AW43" i="13"/>
  <c r="AZ43" i="13"/>
  <c r="BA43" i="13"/>
  <c r="D45" i="13"/>
  <c r="F45" i="13"/>
  <c r="K45" i="13"/>
  <c r="M45" i="13"/>
  <c r="O45" i="13"/>
  <c r="R45" i="13"/>
  <c r="T45" i="13"/>
  <c r="W45" i="13"/>
  <c r="V45" i="13" s="1"/>
  <c r="Y45" i="13"/>
  <c r="AA45" i="13"/>
  <c r="AD45" i="13"/>
  <c r="AC45" i="13" s="1"/>
  <c r="AF45" i="13"/>
  <c r="AH45" i="13"/>
  <c r="AM45" i="13"/>
  <c r="AO45" i="13"/>
  <c r="AT45" i="13"/>
  <c r="AV45" i="13"/>
  <c r="BA45" i="13"/>
  <c r="D48" i="13"/>
  <c r="D54" i="13"/>
  <c r="D51" i="13"/>
  <c r="D57" i="13"/>
  <c r="D60" i="13"/>
  <c r="F48" i="13"/>
  <c r="F54" i="13"/>
  <c r="F51" i="13"/>
  <c r="F57" i="13"/>
  <c r="F60" i="13"/>
  <c r="H54" i="13"/>
  <c r="H51" i="13"/>
  <c r="K48" i="13"/>
  <c r="K54" i="13"/>
  <c r="K51" i="13"/>
  <c r="K57" i="13"/>
  <c r="K60" i="13"/>
  <c r="M48" i="13"/>
  <c r="M54" i="13"/>
  <c r="M51" i="13"/>
  <c r="M57" i="13"/>
  <c r="M60" i="13"/>
  <c r="N46" i="13"/>
  <c r="O54" i="13"/>
  <c r="Q63" i="13"/>
  <c r="Q65" i="13" s="1"/>
  <c r="R48" i="13"/>
  <c r="R54" i="13"/>
  <c r="R51" i="13"/>
  <c r="R57" i="13"/>
  <c r="R60" i="13"/>
  <c r="S63" i="13"/>
  <c r="S46" i="13" s="1"/>
  <c r="T48" i="13"/>
  <c r="T54" i="13"/>
  <c r="T51" i="13"/>
  <c r="T57" i="13"/>
  <c r="T60" i="13"/>
  <c r="U63" i="13"/>
  <c r="U46" i="13" s="1"/>
  <c r="W48" i="13"/>
  <c r="V48" i="13" s="1"/>
  <c r="W54" i="13"/>
  <c r="W51" i="13"/>
  <c r="V51" i="13" s="1"/>
  <c r="W57" i="13"/>
  <c r="V57" i="13" s="1"/>
  <c r="W60" i="13"/>
  <c r="V60" i="13" s="1"/>
  <c r="X63" i="13"/>
  <c r="X65" i="13" s="1"/>
  <c r="AA48" i="13"/>
  <c r="AA54" i="13"/>
  <c r="AA51" i="13"/>
  <c r="AA57" i="13"/>
  <c r="AA60" i="13"/>
  <c r="AB63" i="13"/>
  <c r="AB52" i="13" s="1"/>
  <c r="AD48" i="13"/>
  <c r="AC48" i="13" s="1"/>
  <c r="AD54" i="13"/>
  <c r="AC54" i="13" s="1"/>
  <c r="AD51" i="13"/>
  <c r="AC51" i="13" s="1"/>
  <c r="AD57" i="13"/>
  <c r="AC57" i="13" s="1"/>
  <c r="AD60" i="13"/>
  <c r="AC60" i="13" s="1"/>
  <c r="AE63" i="13"/>
  <c r="AE46" i="13" s="1"/>
  <c r="AG63" i="13"/>
  <c r="AG46" i="13" s="1"/>
  <c r="AL63" i="13"/>
  <c r="AL66" i="13" s="1"/>
  <c r="Y48" i="13"/>
  <c r="AF48" i="13"/>
  <c r="AH48" i="13"/>
  <c r="AM48" i="13"/>
  <c r="AO48" i="13"/>
  <c r="AT48" i="13"/>
  <c r="AV48" i="13"/>
  <c r="BA48" i="13"/>
  <c r="L49" i="13"/>
  <c r="N49" i="13"/>
  <c r="S49" i="13"/>
  <c r="Y51" i="13"/>
  <c r="AF51" i="13"/>
  <c r="AH51" i="13"/>
  <c r="AM51" i="13"/>
  <c r="AO51" i="13"/>
  <c r="AT51" i="13"/>
  <c r="AV51" i="13"/>
  <c r="BA51" i="13"/>
  <c r="N52" i="13"/>
  <c r="S52" i="13"/>
  <c r="Y54" i="13"/>
  <c r="AF54" i="13"/>
  <c r="AH54" i="13"/>
  <c r="AM54" i="13"/>
  <c r="AO54" i="13"/>
  <c r="AT54" i="13"/>
  <c r="AV54" i="13"/>
  <c r="BA54" i="13"/>
  <c r="L55" i="13"/>
  <c r="N55" i="13"/>
  <c r="S55" i="13"/>
  <c r="AE55" i="13"/>
  <c r="Y57" i="13"/>
  <c r="AF57" i="13"/>
  <c r="AH57" i="13"/>
  <c r="AM57" i="13"/>
  <c r="AO57" i="13"/>
  <c r="AT57" i="13"/>
  <c r="AV57" i="13"/>
  <c r="BA57" i="13"/>
  <c r="G58" i="13"/>
  <c r="N58" i="13"/>
  <c r="S58" i="13"/>
  <c r="AE58" i="13"/>
  <c r="Y60" i="13"/>
  <c r="AF60" i="13"/>
  <c r="AH60" i="13"/>
  <c r="AM60" i="13"/>
  <c r="AO60" i="13"/>
  <c r="AT60" i="13"/>
  <c r="AV60" i="13"/>
  <c r="BA60" i="13"/>
  <c r="L61" i="13"/>
  <c r="N61" i="13"/>
  <c r="S61" i="13"/>
  <c r="AE61" i="13"/>
  <c r="G65" i="13"/>
  <c r="L65" i="13"/>
  <c r="N65" i="13"/>
  <c r="S65" i="13"/>
  <c r="AE65" i="13"/>
  <c r="AG65" i="13"/>
  <c r="L66" i="13"/>
  <c r="N66" i="13"/>
  <c r="S66" i="13"/>
  <c r="AE66" i="13"/>
  <c r="D17" i="9"/>
  <c r="E17" i="9"/>
  <c r="F17" i="9"/>
  <c r="G17" i="9"/>
  <c r="H17" i="9"/>
  <c r="I17" i="9"/>
  <c r="J17" i="9"/>
  <c r="K17" i="9"/>
  <c r="L17" i="9"/>
  <c r="C20" i="9"/>
  <c r="D20" i="9"/>
  <c r="E20" i="9"/>
  <c r="F20" i="9"/>
  <c r="G20" i="9"/>
  <c r="H20" i="9"/>
  <c r="I20" i="9"/>
  <c r="J20" i="9"/>
  <c r="K20" i="9"/>
  <c r="L20" i="9"/>
  <c r="C21" i="9"/>
  <c r="D21" i="9"/>
  <c r="E21" i="9"/>
  <c r="F21" i="9"/>
  <c r="G21" i="9"/>
  <c r="H21" i="9"/>
  <c r="I21" i="9"/>
  <c r="J21" i="9"/>
  <c r="K21" i="9"/>
  <c r="L21" i="9"/>
  <c r="C65" i="9"/>
  <c r="C63" i="9" s="1"/>
  <c r="D65" i="9"/>
  <c r="D38" i="9" s="1"/>
  <c r="D24" i="9" s="1"/>
  <c r="E65" i="9"/>
  <c r="E48" i="9" s="1"/>
  <c r="F65" i="9"/>
  <c r="F38" i="9" s="1"/>
  <c r="F33" i="9" s="1"/>
  <c r="G65" i="9"/>
  <c r="G38" i="9" s="1"/>
  <c r="H38" i="9"/>
  <c r="H24" i="9" s="1"/>
  <c r="I38" i="9"/>
  <c r="I24" i="9" s="1"/>
  <c r="J38" i="9"/>
  <c r="J24" i="9" s="1"/>
  <c r="K38" i="9"/>
  <c r="L38" i="9"/>
  <c r="L24" i="9" s="1"/>
  <c r="J30" i="9"/>
  <c r="I36" i="9"/>
  <c r="J40" i="9"/>
  <c r="C44" i="9"/>
  <c r="D44" i="9"/>
  <c r="E44" i="9"/>
  <c r="F44" i="9"/>
  <c r="G44" i="9"/>
  <c r="H44" i="9"/>
  <c r="I44" i="9"/>
  <c r="J44" i="9"/>
  <c r="K44" i="9"/>
  <c r="L44" i="9"/>
  <c r="C45" i="9"/>
  <c r="D45" i="9"/>
  <c r="E45" i="9"/>
  <c r="F45" i="9"/>
  <c r="G45" i="9"/>
  <c r="H45" i="9"/>
  <c r="I45" i="9"/>
  <c r="J45" i="9"/>
  <c r="K45" i="9"/>
  <c r="L45" i="9"/>
  <c r="D48" i="9"/>
  <c r="H65" i="9"/>
  <c r="H57" i="9" s="1"/>
  <c r="I65" i="9"/>
  <c r="I54" i="9" s="1"/>
  <c r="J65" i="9"/>
  <c r="J54" i="9" s="1"/>
  <c r="K65" i="9"/>
  <c r="K51" i="9" s="1"/>
  <c r="L65" i="9"/>
  <c r="L51" i="9" s="1"/>
  <c r="C51" i="9"/>
  <c r="D51" i="9"/>
  <c r="D60" i="9"/>
  <c r="D68" i="9"/>
  <c r="D69" i="9"/>
  <c r="E69" i="9"/>
  <c r="D7" i="12"/>
  <c r="F7" i="12"/>
  <c r="I7" i="12"/>
  <c r="K7" i="12"/>
  <c r="M7" i="12"/>
  <c r="P7" i="12"/>
  <c r="O7" i="12"/>
  <c r="R7" i="12"/>
  <c r="R21" i="12" s="1"/>
  <c r="T7" i="12"/>
  <c r="W7" i="12"/>
  <c r="Y7" i="12"/>
  <c r="AA7" i="12"/>
  <c r="AD7" i="12"/>
  <c r="AC7" i="12"/>
  <c r="AF7" i="12"/>
  <c r="AH7" i="12"/>
  <c r="AK7" i="12"/>
  <c r="AM7" i="12"/>
  <c r="AO7" i="12"/>
  <c r="AR7" i="12"/>
  <c r="AQ7" i="12" s="1"/>
  <c r="AT7" i="12"/>
  <c r="AV7" i="12"/>
  <c r="AY7" i="12"/>
  <c r="AX7" i="12" s="1"/>
  <c r="BA7" i="12"/>
  <c r="D8" i="12"/>
  <c r="F8" i="12"/>
  <c r="I8" i="12"/>
  <c r="H8" i="12" s="1"/>
  <c r="K8" i="12"/>
  <c r="K9" i="12" s="1"/>
  <c r="M8" i="12"/>
  <c r="P8" i="12"/>
  <c r="O8" i="12" s="1"/>
  <c r="R8" i="12"/>
  <c r="T8" i="12"/>
  <c r="W8" i="12"/>
  <c r="V8" i="12" s="1"/>
  <c r="Y8" i="12"/>
  <c r="AA8" i="12"/>
  <c r="AD8" i="12"/>
  <c r="AD9" i="12" s="1"/>
  <c r="AC8" i="12"/>
  <c r="AF8" i="12"/>
  <c r="AH8" i="12"/>
  <c r="AK8" i="12"/>
  <c r="AJ8" i="12" s="1"/>
  <c r="AM8" i="12"/>
  <c r="AO8" i="12"/>
  <c r="AR8" i="12"/>
  <c r="AQ8" i="12" s="1"/>
  <c r="AT8" i="12"/>
  <c r="AV8" i="12"/>
  <c r="AY8" i="12"/>
  <c r="AX8" i="12" s="1"/>
  <c r="BA8" i="12"/>
  <c r="C9" i="12"/>
  <c r="E9" i="12"/>
  <c r="G9" i="12"/>
  <c r="J9" i="12"/>
  <c r="L9" i="12"/>
  <c r="N9" i="12"/>
  <c r="P9" i="12"/>
  <c r="Q9" i="12"/>
  <c r="S9" i="12"/>
  <c r="U9" i="12"/>
  <c r="X9" i="12"/>
  <c r="Z9" i="12"/>
  <c r="AB9" i="12"/>
  <c r="AE9" i="12"/>
  <c r="AG9" i="12"/>
  <c r="AI9" i="12"/>
  <c r="AL9" i="12"/>
  <c r="AN9" i="12"/>
  <c r="AP9" i="12"/>
  <c r="AS9" i="12"/>
  <c r="AU9" i="12"/>
  <c r="AW9" i="12"/>
  <c r="AZ9" i="12"/>
  <c r="BB9" i="12"/>
  <c r="D11" i="12"/>
  <c r="F11" i="12"/>
  <c r="I11" i="12"/>
  <c r="H11" i="12" s="1"/>
  <c r="K11" i="12"/>
  <c r="M11" i="12"/>
  <c r="P11" i="12"/>
  <c r="O11" i="12" s="1"/>
  <c r="R11" i="12"/>
  <c r="T11" i="12"/>
  <c r="W11" i="12"/>
  <c r="V11" i="12" s="1"/>
  <c r="Y11" i="12"/>
  <c r="AA11" i="12"/>
  <c r="AD11" i="12"/>
  <c r="AC11" i="12" s="1"/>
  <c r="AF11" i="12"/>
  <c r="AH11" i="12"/>
  <c r="AK11" i="12"/>
  <c r="AK12" i="12" s="1"/>
  <c r="AM11" i="12"/>
  <c r="AO11" i="12"/>
  <c r="AR11" i="12"/>
  <c r="AQ11" i="12" s="1"/>
  <c r="AT11" i="12"/>
  <c r="AV11" i="12"/>
  <c r="AY11" i="12"/>
  <c r="AY12" i="12" s="1"/>
  <c r="BA11" i="12"/>
  <c r="C12" i="12"/>
  <c r="E12" i="12"/>
  <c r="G12" i="12"/>
  <c r="J12" i="12"/>
  <c r="L12" i="12"/>
  <c r="N12" i="12"/>
  <c r="Q12" i="12"/>
  <c r="S12" i="12"/>
  <c r="U12" i="12"/>
  <c r="X12" i="12"/>
  <c r="Z12" i="12"/>
  <c r="AB12" i="12"/>
  <c r="AE12" i="12"/>
  <c r="AG12" i="12"/>
  <c r="AI12" i="12"/>
  <c r="AL12" i="12"/>
  <c r="AN12" i="12"/>
  <c r="AP12" i="12"/>
  <c r="AS12" i="12"/>
  <c r="AU12" i="12"/>
  <c r="AW12" i="12"/>
  <c r="AZ12" i="12"/>
  <c r="BB12" i="12"/>
  <c r="D14" i="12"/>
  <c r="D15" i="12" s="1"/>
  <c r="F14" i="12"/>
  <c r="I14" i="12"/>
  <c r="F7" i="17" s="1"/>
  <c r="K14" i="12"/>
  <c r="K15" i="12" s="1"/>
  <c r="M14" i="12"/>
  <c r="P14" i="12"/>
  <c r="J7" i="17" s="1"/>
  <c r="O14" i="12"/>
  <c r="R14" i="12"/>
  <c r="T14" i="12"/>
  <c r="T15" i="12" s="1"/>
  <c r="W14" i="12"/>
  <c r="Y14" i="12"/>
  <c r="AA14" i="12"/>
  <c r="AA15" i="12" s="1"/>
  <c r="AD14" i="12"/>
  <c r="R7" i="17" s="1"/>
  <c r="AF14" i="12"/>
  <c r="AH14" i="12"/>
  <c r="AK14" i="12"/>
  <c r="AJ14" i="12"/>
  <c r="AM14" i="12"/>
  <c r="AO14" i="12"/>
  <c r="AR14" i="12"/>
  <c r="Z7" i="17" s="1"/>
  <c r="AT14" i="12"/>
  <c r="AV14" i="12"/>
  <c r="AY14" i="12"/>
  <c r="AY17" i="12" s="1"/>
  <c r="BA14" i="12"/>
  <c r="C15" i="12"/>
  <c r="E15" i="12"/>
  <c r="G15" i="12"/>
  <c r="J15" i="12"/>
  <c r="L15" i="12"/>
  <c r="N15" i="12"/>
  <c r="P15" i="12"/>
  <c r="Q15" i="12"/>
  <c r="S15" i="12"/>
  <c r="U15" i="12"/>
  <c r="X15" i="12"/>
  <c r="Z15" i="12"/>
  <c r="AB15" i="12"/>
  <c r="AD15" i="12"/>
  <c r="AE15" i="12"/>
  <c r="AG15" i="12"/>
  <c r="AI15" i="12"/>
  <c r="AL15" i="12"/>
  <c r="AN15" i="12"/>
  <c r="AP15" i="12"/>
  <c r="AS15" i="12"/>
  <c r="AU15" i="12"/>
  <c r="AW15" i="12"/>
  <c r="AZ15" i="12"/>
  <c r="BB15" i="12"/>
  <c r="C24" i="12"/>
  <c r="C7" i="15" s="1"/>
  <c r="D19" i="12"/>
  <c r="D22" i="12"/>
  <c r="E24" i="12"/>
  <c r="E7" i="15" s="1"/>
  <c r="F19" i="12"/>
  <c r="F22" i="12"/>
  <c r="G24" i="12"/>
  <c r="G17" i="12" s="1"/>
  <c r="I19" i="12"/>
  <c r="H19" i="12" s="1"/>
  <c r="I22" i="12"/>
  <c r="H22" i="12"/>
  <c r="J24" i="12"/>
  <c r="J7" i="15" s="1"/>
  <c r="J25" i="15" s="1"/>
  <c r="K19" i="12"/>
  <c r="K22" i="12"/>
  <c r="L24" i="12"/>
  <c r="L7" i="15" s="1"/>
  <c r="M19" i="12"/>
  <c r="M22" i="12"/>
  <c r="N24" i="12"/>
  <c r="P19" i="12"/>
  <c r="O19" i="12" s="1"/>
  <c r="P22" i="12"/>
  <c r="O22" i="12" s="1"/>
  <c r="Q24" i="12"/>
  <c r="Q7" i="15" s="1"/>
  <c r="R19" i="12"/>
  <c r="R22" i="12"/>
  <c r="S24" i="12"/>
  <c r="S25" i="12" s="1"/>
  <c r="T19" i="12"/>
  <c r="T21" i="12" s="1"/>
  <c r="T22" i="12"/>
  <c r="U24" i="12"/>
  <c r="U7" i="15" s="1"/>
  <c r="W19" i="12"/>
  <c r="W22" i="12"/>
  <c r="X24" i="12"/>
  <c r="X25" i="12" s="1"/>
  <c r="Y19" i="12"/>
  <c r="Y22" i="12"/>
  <c r="Z24" i="12"/>
  <c r="Z7" i="15" s="1"/>
  <c r="Z25" i="15" s="1"/>
  <c r="AA19" i="12"/>
  <c r="AA22" i="12"/>
  <c r="AB24" i="12"/>
  <c r="AB7" i="15" s="1"/>
  <c r="AB25" i="15" s="1"/>
  <c r="AD19" i="12"/>
  <c r="AD21" i="12" s="1"/>
  <c r="AD22" i="12"/>
  <c r="AE17" i="12"/>
  <c r="AF24" i="12"/>
  <c r="AF17" i="12" s="1"/>
  <c r="AG17" i="12"/>
  <c r="AH24" i="12"/>
  <c r="AH7" i="15" s="1"/>
  <c r="AI17" i="12"/>
  <c r="AK24" i="12"/>
  <c r="AL17" i="12"/>
  <c r="AM24" i="12"/>
  <c r="AN17" i="12"/>
  <c r="AO24" i="12"/>
  <c r="AO25" i="12" s="1"/>
  <c r="AP17" i="12"/>
  <c r="AR24" i="12"/>
  <c r="AS17" i="12"/>
  <c r="AT24" i="12"/>
  <c r="AT7" i="15" s="1"/>
  <c r="AV24" i="12"/>
  <c r="AV25" i="12" s="1"/>
  <c r="AW17" i="12"/>
  <c r="AY24" i="12"/>
  <c r="AX24" i="12" s="1"/>
  <c r="AZ17" i="12"/>
  <c r="BA24" i="12"/>
  <c r="BB17" i="12"/>
  <c r="AF19" i="12"/>
  <c r="AH19" i="12"/>
  <c r="AH21" i="12" s="1"/>
  <c r="AK19" i="12"/>
  <c r="AJ19" i="12" s="1"/>
  <c r="AM19" i="12"/>
  <c r="AO19" i="12"/>
  <c r="AR19" i="12"/>
  <c r="AQ19" i="12" s="1"/>
  <c r="AT19" i="12"/>
  <c r="AV19" i="12"/>
  <c r="AY19" i="12"/>
  <c r="AX19" i="12" s="1"/>
  <c r="BA19" i="12"/>
  <c r="BA21" i="12" s="1"/>
  <c r="C21" i="12"/>
  <c r="E21" i="12"/>
  <c r="G21" i="12"/>
  <c r="I21" i="12"/>
  <c r="J21" i="12"/>
  <c r="L21" i="12"/>
  <c r="N21" i="12"/>
  <c r="P21" i="12"/>
  <c r="Q21" i="12"/>
  <c r="S21" i="12"/>
  <c r="U21" i="12"/>
  <c r="X21" i="12"/>
  <c r="Z21" i="12"/>
  <c r="AB21" i="12"/>
  <c r="AE21" i="12"/>
  <c r="AG21" i="12"/>
  <c r="AI21" i="12"/>
  <c r="AL21" i="12"/>
  <c r="AN21" i="12"/>
  <c r="AP21" i="12"/>
  <c r="AS21" i="12"/>
  <c r="AU21" i="12"/>
  <c r="AW21" i="12"/>
  <c r="AZ21" i="12"/>
  <c r="BB21" i="12"/>
  <c r="AF22" i="12"/>
  <c r="AH22" i="12"/>
  <c r="AK22" i="12"/>
  <c r="AJ22" i="12" s="1"/>
  <c r="AM22" i="12"/>
  <c r="AO22" i="12"/>
  <c r="AR22" i="12"/>
  <c r="AQ22" i="12" s="1"/>
  <c r="AT22" i="12"/>
  <c r="AV22" i="12"/>
  <c r="AY22" i="12"/>
  <c r="AX22" i="12" s="1"/>
  <c r="BA22" i="12"/>
  <c r="AE25" i="12"/>
  <c r="AG25" i="12"/>
  <c r="AI25" i="12"/>
  <c r="AL25" i="12"/>
  <c r="AN25" i="12"/>
  <c r="AP25" i="12"/>
  <c r="AS25" i="12"/>
  <c r="AU25" i="12"/>
  <c r="AW25" i="12"/>
  <c r="AY25" i="12"/>
  <c r="AZ25" i="12"/>
  <c r="BB25" i="12"/>
  <c r="D26" i="12"/>
  <c r="F26" i="12"/>
  <c r="I26" i="12"/>
  <c r="H26" i="12" s="1"/>
  <c r="K26" i="12"/>
  <c r="M26" i="12"/>
  <c r="P26" i="12"/>
  <c r="O26" i="12" s="1"/>
  <c r="R26" i="12"/>
  <c r="T26" i="12"/>
  <c r="T43" i="12" s="1"/>
  <c r="W26" i="12"/>
  <c r="V26" i="12" s="1"/>
  <c r="Y26" i="12"/>
  <c r="AA26" i="12"/>
  <c r="AD26" i="12"/>
  <c r="AC26" i="12" s="1"/>
  <c r="AF26" i="12"/>
  <c r="AH26" i="12"/>
  <c r="AK26" i="12"/>
  <c r="AJ26" i="12" s="1"/>
  <c r="AM26" i="12"/>
  <c r="AO26" i="12"/>
  <c r="AR26" i="12"/>
  <c r="AQ26" i="12" s="1"/>
  <c r="AT26" i="12"/>
  <c r="AV26" i="12"/>
  <c r="AY26" i="12"/>
  <c r="AX26" i="12" s="1"/>
  <c r="BA26" i="12"/>
  <c r="D27" i="12"/>
  <c r="F27" i="12"/>
  <c r="I27" i="12"/>
  <c r="H27" i="12" s="1"/>
  <c r="K27" i="12"/>
  <c r="M27" i="12"/>
  <c r="P27" i="12"/>
  <c r="O27" i="12" s="1"/>
  <c r="R27" i="12"/>
  <c r="T27" i="12"/>
  <c r="W27" i="12"/>
  <c r="V27" i="12" s="1"/>
  <c r="Y27" i="12"/>
  <c r="AA27" i="12"/>
  <c r="AD27" i="12"/>
  <c r="AC27" i="12" s="1"/>
  <c r="AF27" i="12"/>
  <c r="AH27" i="12"/>
  <c r="AK27" i="12"/>
  <c r="AJ27" i="12" s="1"/>
  <c r="AM27" i="12"/>
  <c r="AO27" i="12"/>
  <c r="AR27" i="12"/>
  <c r="AQ27" i="12" s="1"/>
  <c r="AT27" i="12"/>
  <c r="AV27" i="12"/>
  <c r="BA27" i="12"/>
  <c r="E31" i="12"/>
  <c r="E38" i="12" s="1"/>
  <c r="AE31" i="12"/>
  <c r="AE37" i="12" s="1"/>
  <c r="AG31" i="12"/>
  <c r="AI31" i="12"/>
  <c r="AI38" i="12" s="1"/>
  <c r="AL31" i="12"/>
  <c r="AL37" i="12" s="1"/>
  <c r="AN31" i="12"/>
  <c r="AN37" i="12" s="1"/>
  <c r="AP31" i="12"/>
  <c r="AP38" i="12" s="1"/>
  <c r="AS31" i="12"/>
  <c r="AS37" i="12" s="1"/>
  <c r="AU31" i="12"/>
  <c r="AU37" i="12" s="1"/>
  <c r="AW31" i="12"/>
  <c r="AW38" i="12" s="1"/>
  <c r="AW40" i="12" s="1"/>
  <c r="AC51" i="17" s="1"/>
  <c r="AZ31" i="12"/>
  <c r="AZ37" i="12" s="1"/>
  <c r="BB31" i="12"/>
  <c r="BB37" i="12" s="1"/>
  <c r="D33" i="12"/>
  <c r="F33" i="12"/>
  <c r="I33" i="12"/>
  <c r="H33" i="12"/>
  <c r="K33" i="12"/>
  <c r="M33" i="12"/>
  <c r="P33" i="12"/>
  <c r="O33" i="12" s="1"/>
  <c r="R33" i="12"/>
  <c r="T33" i="12"/>
  <c r="W33" i="12"/>
  <c r="V33" i="12" s="1"/>
  <c r="Y33" i="12"/>
  <c r="AA33" i="12"/>
  <c r="AD33" i="12"/>
  <c r="AC33" i="12" s="1"/>
  <c r="AF33" i="12"/>
  <c r="AH33" i="12"/>
  <c r="AK33" i="12"/>
  <c r="AJ33" i="12" s="1"/>
  <c r="AM33" i="12"/>
  <c r="AO33" i="12"/>
  <c r="AR33" i="12"/>
  <c r="AQ33" i="12" s="1"/>
  <c r="AT33" i="12"/>
  <c r="AY33" i="12"/>
  <c r="AX33" i="12" s="1"/>
  <c r="BA33" i="12"/>
  <c r="D35" i="12"/>
  <c r="F35" i="12"/>
  <c r="I35" i="12"/>
  <c r="H35" i="12" s="1"/>
  <c r="K35" i="12"/>
  <c r="M35" i="12"/>
  <c r="P35" i="12"/>
  <c r="O35" i="12" s="1"/>
  <c r="R35" i="12"/>
  <c r="T35" i="12"/>
  <c r="W35" i="12"/>
  <c r="V35" i="12" s="1"/>
  <c r="X35" i="12"/>
  <c r="Y35" i="12" s="1"/>
  <c r="AA35" i="12"/>
  <c r="AD35" i="12"/>
  <c r="AC35" i="12" s="1"/>
  <c r="AE35" i="12"/>
  <c r="AG35" i="12"/>
  <c r="AF35" i="12" s="1"/>
  <c r="AK35" i="12"/>
  <c r="AJ35" i="12" s="1"/>
  <c r="AM35" i="12"/>
  <c r="AO35" i="12"/>
  <c r="AR35" i="12"/>
  <c r="AQ35" i="12" s="1"/>
  <c r="AT35" i="12"/>
  <c r="AV35" i="12"/>
  <c r="AY35" i="12"/>
  <c r="AX35" i="12" s="1"/>
  <c r="BA35" i="12"/>
  <c r="D36" i="12"/>
  <c r="F36" i="12"/>
  <c r="I36" i="12"/>
  <c r="F53" i="17" s="1"/>
  <c r="K36" i="12"/>
  <c r="M36" i="12"/>
  <c r="P36" i="12"/>
  <c r="O36" i="12" s="1"/>
  <c r="R36" i="12"/>
  <c r="T36" i="12"/>
  <c r="W36" i="12"/>
  <c r="N53" i="17" s="1"/>
  <c r="Y36" i="12"/>
  <c r="AA36" i="12"/>
  <c r="AD36" i="12"/>
  <c r="R53" i="17" s="1"/>
  <c r="AG36" i="12"/>
  <c r="T53" i="17" s="1"/>
  <c r="AF36" i="12"/>
  <c r="AK36" i="12"/>
  <c r="V53" i="17" s="1"/>
  <c r="AJ36" i="12"/>
  <c r="AM36" i="12"/>
  <c r="AO36" i="12"/>
  <c r="AR36" i="12"/>
  <c r="Z53" i="17" s="1"/>
  <c r="AT36" i="12"/>
  <c r="AV36" i="12"/>
  <c r="AY36" i="12"/>
  <c r="AD53" i="17" s="1"/>
  <c r="AX36" i="12"/>
  <c r="BA36" i="12"/>
  <c r="AN38" i="12"/>
  <c r="AN40" i="12" s="1"/>
  <c r="X51" i="17" s="1"/>
  <c r="I39" i="12"/>
  <c r="F52" i="17" s="1"/>
  <c r="P39" i="12"/>
  <c r="O39" i="12" s="1"/>
  <c r="R39" i="12"/>
  <c r="T39" i="12"/>
  <c r="W39" i="12"/>
  <c r="N52" i="17" s="1"/>
  <c r="Y39" i="12"/>
  <c r="AA39" i="12"/>
  <c r="AD39" i="12"/>
  <c r="R52" i="17" s="1"/>
  <c r="AF39" i="12"/>
  <c r="AH39" i="12"/>
  <c r="AK39" i="12"/>
  <c r="V52" i="17" s="1"/>
  <c r="AM39" i="12"/>
  <c r="AO39" i="12"/>
  <c r="AR39" i="12"/>
  <c r="Z52" i="17" s="1"/>
  <c r="AT39" i="12"/>
  <c r="AV39" i="12"/>
  <c r="AY39" i="12"/>
  <c r="AX39" i="12" s="1"/>
  <c r="BA39" i="12"/>
  <c r="I41" i="12"/>
  <c r="H41" i="12"/>
  <c r="P41" i="12"/>
  <c r="O41" i="12" s="1"/>
  <c r="R41" i="12"/>
  <c r="T41" i="12"/>
  <c r="W41" i="12"/>
  <c r="V41" i="12" s="1"/>
  <c r="Y41" i="12"/>
  <c r="AA41" i="12"/>
  <c r="AD41" i="12"/>
  <c r="AC41" i="12" s="1"/>
  <c r="AF41" i="12"/>
  <c r="AH41" i="12"/>
  <c r="AK41" i="12"/>
  <c r="AJ41" i="12" s="1"/>
  <c r="AM41" i="12"/>
  <c r="AO41" i="12"/>
  <c r="AR41" i="12"/>
  <c r="AQ41" i="12" s="1"/>
  <c r="AT41" i="12"/>
  <c r="AV41" i="12"/>
  <c r="AY41" i="12"/>
  <c r="AX41" i="12" s="1"/>
  <c r="BA41" i="12"/>
  <c r="C43" i="12"/>
  <c r="E43" i="12"/>
  <c r="G43" i="12"/>
  <c r="J43" i="12"/>
  <c r="L43" i="12"/>
  <c r="N43" i="12"/>
  <c r="Q43" i="12"/>
  <c r="S43" i="12"/>
  <c r="U43" i="12"/>
  <c r="W43" i="12"/>
  <c r="X43" i="12"/>
  <c r="Z43" i="12"/>
  <c r="AB43" i="12"/>
  <c r="AE43" i="12"/>
  <c r="AG43" i="12"/>
  <c r="AI43" i="12"/>
  <c r="AK43" i="12"/>
  <c r="AL43" i="12"/>
  <c r="AN43" i="12"/>
  <c r="AP43" i="12"/>
  <c r="AS43" i="12"/>
  <c r="AU43" i="12"/>
  <c r="AW43" i="12"/>
  <c r="AZ43" i="12"/>
  <c r="BB43" i="12"/>
  <c r="D44" i="12"/>
  <c r="F44" i="12"/>
  <c r="I44" i="12"/>
  <c r="H44" i="12" s="1"/>
  <c r="P44" i="12"/>
  <c r="O44" i="12" s="1"/>
  <c r="R44" i="12"/>
  <c r="T44" i="12"/>
  <c r="W44" i="12"/>
  <c r="V44" i="12" s="1"/>
  <c r="Y44" i="12"/>
  <c r="AA44" i="12"/>
  <c r="AD44" i="12"/>
  <c r="AC44" i="12" s="1"/>
  <c r="AF44" i="12"/>
  <c r="AH44" i="12"/>
  <c r="AK44" i="12"/>
  <c r="AJ44" i="12" s="1"/>
  <c r="AM44" i="12"/>
  <c r="AO44" i="12"/>
  <c r="AR44" i="12"/>
  <c r="AQ44" i="12" s="1"/>
  <c r="AT44" i="12"/>
  <c r="AV44" i="12"/>
  <c r="AY44" i="12"/>
  <c r="AX44" i="12" s="1"/>
  <c r="BA44" i="12"/>
  <c r="D45" i="12"/>
  <c r="F45" i="12"/>
  <c r="I45" i="12"/>
  <c r="H45" i="12" s="1"/>
  <c r="P45" i="12"/>
  <c r="O45" i="12" s="1"/>
  <c r="R45" i="12"/>
  <c r="T45" i="12"/>
  <c r="W45" i="12"/>
  <c r="V45" i="12" s="1"/>
  <c r="Y45" i="12"/>
  <c r="AA45" i="12"/>
  <c r="AD45" i="12"/>
  <c r="AC45" i="12" s="1"/>
  <c r="AF45" i="12"/>
  <c r="AH45" i="12"/>
  <c r="AK45" i="12"/>
  <c r="AJ45" i="12" s="1"/>
  <c r="AM45" i="12"/>
  <c r="AO45" i="12"/>
  <c r="AR45" i="12"/>
  <c r="AQ45" i="12" s="1"/>
  <c r="AT45" i="12"/>
  <c r="AV45" i="12"/>
  <c r="AY45" i="12"/>
  <c r="AX45" i="12" s="1"/>
  <c r="BA45" i="12"/>
  <c r="C9" i="6"/>
  <c r="D9" i="6"/>
  <c r="E9" i="6"/>
  <c r="F9" i="6"/>
  <c r="G9" i="6"/>
  <c r="H9" i="6"/>
  <c r="I9" i="6"/>
  <c r="J9" i="6"/>
  <c r="K9" i="6"/>
  <c r="L9" i="6"/>
  <c r="C12" i="6"/>
  <c r="D12" i="6"/>
  <c r="E12" i="6"/>
  <c r="F12" i="6"/>
  <c r="G12" i="6"/>
  <c r="H12" i="6"/>
  <c r="I12" i="6"/>
  <c r="J12" i="6"/>
  <c r="K12" i="6"/>
  <c r="L12" i="6"/>
  <c r="C15" i="6"/>
  <c r="D15" i="6"/>
  <c r="E15" i="6"/>
  <c r="F15" i="6"/>
  <c r="G15" i="6"/>
  <c r="H15" i="6"/>
  <c r="I15" i="6"/>
  <c r="J15" i="6"/>
  <c r="K15" i="6"/>
  <c r="L15" i="6"/>
  <c r="C24" i="6"/>
  <c r="C7" i="10" s="1"/>
  <c r="C25" i="10" s="1"/>
  <c r="D24" i="6"/>
  <c r="D17" i="6" s="1"/>
  <c r="E24" i="6"/>
  <c r="I7" i="15" s="1"/>
  <c r="F24" i="6"/>
  <c r="F7" i="10" s="1"/>
  <c r="F25" i="10" s="1"/>
  <c r="G24" i="6"/>
  <c r="G7" i="10" s="1"/>
  <c r="G17" i="6"/>
  <c r="H24" i="6"/>
  <c r="H7" i="10" s="1"/>
  <c r="H25" i="10" s="1"/>
  <c r="H17" i="6"/>
  <c r="I24" i="6"/>
  <c r="I7" i="10" s="1"/>
  <c r="I25" i="10" s="1"/>
  <c r="J17" i="6"/>
  <c r="K17" i="6"/>
  <c r="L17" i="6"/>
  <c r="C21" i="6"/>
  <c r="D21" i="6"/>
  <c r="E21" i="6"/>
  <c r="F21" i="6"/>
  <c r="G21" i="6"/>
  <c r="H21" i="6"/>
  <c r="I21" i="6"/>
  <c r="J21" i="6"/>
  <c r="K21" i="6"/>
  <c r="L21" i="6"/>
  <c r="J25" i="6"/>
  <c r="K25" i="6"/>
  <c r="L25" i="6"/>
  <c r="L27" i="6"/>
  <c r="AY27" i="12" s="1"/>
  <c r="AX27" i="12" s="1"/>
  <c r="G31" i="6"/>
  <c r="G38" i="6" s="1"/>
  <c r="H31" i="6"/>
  <c r="H37" i="6" s="1"/>
  <c r="J31" i="6"/>
  <c r="J38" i="6" s="1"/>
  <c r="K31" i="6"/>
  <c r="K37" i="6" s="1"/>
  <c r="G37" i="6"/>
  <c r="E43" i="6"/>
  <c r="F43" i="6"/>
  <c r="G43" i="6"/>
  <c r="H43" i="6"/>
  <c r="I43" i="6"/>
  <c r="J43" i="6"/>
  <c r="K43" i="6"/>
  <c r="L43" i="6"/>
  <c r="D49" i="6"/>
  <c r="D50" i="6" s="1"/>
  <c r="D51" i="6" s="1"/>
  <c r="E49" i="6"/>
  <c r="E50" i="6" s="1"/>
  <c r="E51" i="6" s="1"/>
  <c r="F49" i="6"/>
  <c r="F50" i="6" s="1"/>
  <c r="F51" i="6" s="1"/>
  <c r="H49" i="6"/>
  <c r="H50" i="6" s="1"/>
  <c r="H51" i="6" s="1"/>
  <c r="J49" i="6"/>
  <c r="J50" i="6" s="1"/>
  <c r="J51" i="6" s="1"/>
  <c r="K49" i="6"/>
  <c r="L49" i="6"/>
  <c r="L50" i="6" s="1"/>
  <c r="L51" i="6" s="1"/>
  <c r="C50" i="6"/>
  <c r="C51" i="6" s="1"/>
  <c r="K50" i="6"/>
  <c r="K51" i="6" s="1"/>
  <c r="C58" i="6"/>
  <c r="D58" i="6"/>
  <c r="E58" i="6"/>
  <c r="F58" i="6"/>
  <c r="G58" i="6"/>
  <c r="H58" i="6"/>
  <c r="I58" i="6"/>
  <c r="J58" i="6"/>
  <c r="K58" i="6"/>
  <c r="L58" i="6"/>
  <c r="C59" i="6"/>
  <c r="D59" i="6"/>
  <c r="E59" i="6"/>
  <c r="F59" i="6"/>
  <c r="G59" i="6"/>
  <c r="H59" i="6"/>
  <c r="I59" i="6"/>
  <c r="J59" i="6"/>
  <c r="K59" i="6"/>
  <c r="L59" i="6"/>
  <c r="BA25" i="12" l="1"/>
  <c r="J31" i="12"/>
  <c r="J38" i="12" s="1"/>
  <c r="BA15" i="12"/>
  <c r="F43" i="12"/>
  <c r="AB25" i="12"/>
  <c r="AA21" i="12"/>
  <c r="J25" i="12"/>
  <c r="K12" i="12"/>
  <c r="AA9" i="12"/>
  <c r="AO12" i="12"/>
  <c r="AL38" i="12"/>
  <c r="AL40" i="12" s="1"/>
  <c r="W51" i="17" s="1"/>
  <c r="W54" i="17" s="1"/>
  <c r="W63" i="17" s="1"/>
  <c r="W75" i="17" s="1"/>
  <c r="F24" i="12"/>
  <c r="F7" i="15" s="1"/>
  <c r="AA12" i="12"/>
  <c r="AB31" i="12"/>
  <c r="K21" i="12"/>
  <c r="F56" i="17"/>
  <c r="R72" i="17"/>
  <c r="R79" i="17"/>
  <c r="Z72" i="17"/>
  <c r="R94" i="17"/>
  <c r="F94" i="17"/>
  <c r="J56" i="17"/>
  <c r="I11" i="11"/>
  <c r="H25" i="1"/>
  <c r="G38" i="16"/>
  <c r="G40" i="16" s="1"/>
  <c r="O92" i="16"/>
  <c r="W75" i="16"/>
  <c r="D76" i="1"/>
  <c r="D78" i="1" s="1"/>
  <c r="E115" i="1"/>
  <c r="E32" i="1" s="1"/>
  <c r="E41" i="1" s="1"/>
  <c r="I76" i="1"/>
  <c r="G61" i="16"/>
  <c r="G63" i="16" s="1"/>
  <c r="C68" i="16"/>
  <c r="C76" i="16" s="1"/>
  <c r="F76" i="1"/>
  <c r="AA38" i="16"/>
  <c r="F63" i="1"/>
  <c r="H63" i="1"/>
  <c r="O114" i="16"/>
  <c r="G57" i="16"/>
  <c r="K75" i="16"/>
  <c r="K76" i="16" s="1"/>
  <c r="C75" i="16"/>
  <c r="S29" i="16"/>
  <c r="G36" i="16"/>
  <c r="G9" i="16" s="1"/>
  <c r="S61" i="16"/>
  <c r="O57" i="16"/>
  <c r="K61" i="16"/>
  <c r="K63" i="16" s="1"/>
  <c r="R35" i="16"/>
  <c r="Q58" i="13"/>
  <c r="Q52" i="13"/>
  <c r="AB61" i="13"/>
  <c r="AB49" i="13"/>
  <c r="S39" i="13"/>
  <c r="AB65" i="13"/>
  <c r="Q61" i="13"/>
  <c r="AB66" i="13"/>
  <c r="Q49" i="13"/>
  <c r="Q66" i="13"/>
  <c r="AE52" i="13"/>
  <c r="AP39" i="13"/>
  <c r="AP63" i="13"/>
  <c r="AP55" i="13" s="1"/>
  <c r="Q46" i="13"/>
  <c r="AP31" i="13"/>
  <c r="AP25" i="13"/>
  <c r="K54" i="9"/>
  <c r="H30" i="9"/>
  <c r="I15" i="13"/>
  <c r="K48" i="9"/>
  <c r="L60" i="9"/>
  <c r="J41" i="9"/>
  <c r="J27" i="9"/>
  <c r="AK15" i="13"/>
  <c r="L69" i="9"/>
  <c r="J51" i="9"/>
  <c r="K69" i="9"/>
  <c r="W15" i="13"/>
  <c r="AM43" i="12"/>
  <c r="AO43" i="12"/>
  <c r="Q25" i="15"/>
  <c r="R43" i="12"/>
  <c r="AT43" i="12"/>
  <c r="AX25" i="12"/>
  <c r="U11" i="17"/>
  <c r="S31" i="12"/>
  <c r="S38" i="12" s="1"/>
  <c r="AM17" i="12"/>
  <c r="Y21" i="12"/>
  <c r="AX21" i="12"/>
  <c r="U25" i="15"/>
  <c r="Y43" i="12"/>
  <c r="C25" i="15"/>
  <c r="X54" i="17"/>
  <c r="X63" i="17" s="1"/>
  <c r="X75" i="17" s="1"/>
  <c r="X113" i="17" s="1"/>
  <c r="D43" i="12"/>
  <c r="P24" i="12"/>
  <c r="P25" i="12" s="1"/>
  <c r="AR15" i="12"/>
  <c r="AX11" i="12"/>
  <c r="W12" i="12"/>
  <c r="I31" i="6"/>
  <c r="I37" i="6" s="1"/>
  <c r="F25" i="6"/>
  <c r="I43" i="12"/>
  <c r="AR12" i="12"/>
  <c r="E25" i="6"/>
  <c r="I12" i="12"/>
  <c r="AR9" i="12"/>
  <c r="C31" i="6"/>
  <c r="C37" i="6" s="1"/>
  <c r="AC19" i="12"/>
  <c r="AC21" i="12" s="1"/>
  <c r="C25" i="6"/>
  <c r="C17" i="6"/>
  <c r="AQ39" i="12"/>
  <c r="AC39" i="12"/>
  <c r="AX14" i="12"/>
  <c r="AX15" i="12" s="1"/>
  <c r="J37" i="6"/>
  <c r="G25" i="10"/>
  <c r="AR43" i="12"/>
  <c r="AY21" i="12"/>
  <c r="AQ36" i="12"/>
  <c r="I24" i="12"/>
  <c r="I25" i="12" s="1"/>
  <c r="E17" i="6"/>
  <c r="AJ39" i="12"/>
  <c r="V39" i="12"/>
  <c r="P12" i="12"/>
  <c r="AJ11" i="12"/>
  <c r="P15" i="15"/>
  <c r="O15" i="15" s="1"/>
  <c r="C15" i="17"/>
  <c r="C18" i="17" s="1"/>
  <c r="C27" i="17" s="1"/>
  <c r="C42" i="17" s="1"/>
  <c r="C45" i="17" s="1"/>
  <c r="J94" i="17"/>
  <c r="J98" i="17" s="1"/>
  <c r="AD72" i="17"/>
  <c r="V69" i="17"/>
  <c r="R56" i="17"/>
  <c r="Z8" i="17"/>
  <c r="Z11" i="17" s="1"/>
  <c r="Z15" i="17" s="1"/>
  <c r="Z18" i="17" s="1"/>
  <c r="Z27" i="17" s="1"/>
  <c r="V72" i="17"/>
  <c r="J11" i="17"/>
  <c r="J15" i="17" s="1"/>
  <c r="J18" i="17" s="1"/>
  <c r="J27" i="17" s="1"/>
  <c r="N94" i="17"/>
  <c r="N98" i="17" s="1"/>
  <c r="AD8" i="17"/>
  <c r="Z25" i="17"/>
  <c r="V110" i="17"/>
  <c r="G49" i="6"/>
  <c r="G50" i="6" s="1"/>
  <c r="G51" i="6" s="1"/>
  <c r="N13" i="17"/>
  <c r="H15" i="11"/>
  <c r="H18" i="11" s="1"/>
  <c r="H27" i="11" s="1"/>
  <c r="F110" i="17"/>
  <c r="AD110" i="17"/>
  <c r="N110" i="17"/>
  <c r="J110" i="17"/>
  <c r="V79" i="17"/>
  <c r="V98" i="17" s="1"/>
  <c r="F11" i="17"/>
  <c r="F15" i="17" s="1"/>
  <c r="F18" i="17" s="1"/>
  <c r="F27" i="17" s="1"/>
  <c r="F42" i="17" s="1"/>
  <c r="F45" i="17" s="1"/>
  <c r="I98" i="11"/>
  <c r="Z79" i="17"/>
  <c r="Z98" i="17" s="1"/>
  <c r="N56" i="17"/>
  <c r="L11" i="11"/>
  <c r="L15" i="11" s="1"/>
  <c r="L18" i="11" s="1"/>
  <c r="L27" i="11" s="1"/>
  <c r="R69" i="17"/>
  <c r="K11" i="11"/>
  <c r="K15" i="11" s="1"/>
  <c r="K18" i="11" s="1"/>
  <c r="K27" i="11" s="1"/>
  <c r="J11" i="11"/>
  <c r="J15" i="11" s="1"/>
  <c r="J18" i="11" s="1"/>
  <c r="J27" i="11" s="1"/>
  <c r="T36" i="16"/>
  <c r="X115" i="16"/>
  <c r="X32" i="16" s="1"/>
  <c r="X41" i="16" s="1"/>
  <c r="V35" i="16"/>
  <c r="AB25" i="16"/>
  <c r="AA40" i="16"/>
  <c r="AA9" i="16" s="1"/>
  <c r="K57" i="16"/>
  <c r="W103" i="16"/>
  <c r="G103" i="16"/>
  <c r="G104" i="16" s="1"/>
  <c r="H106" i="1"/>
  <c r="I63" i="1"/>
  <c r="I78" i="1" s="1"/>
  <c r="K20" i="16"/>
  <c r="K21" i="16" s="1"/>
  <c r="K26" i="16"/>
  <c r="O103" i="16"/>
  <c r="K103" i="16"/>
  <c r="C29" i="16"/>
  <c r="AA103" i="16"/>
  <c r="K25" i="1"/>
  <c r="K27" i="1" s="1"/>
  <c r="K106" i="1"/>
  <c r="K117" i="1" s="1"/>
  <c r="L63" i="1"/>
  <c r="C115" i="1"/>
  <c r="C32" i="1" s="1"/>
  <c r="F115" i="1"/>
  <c r="F32" i="1" s="1"/>
  <c r="F41" i="1" s="1"/>
  <c r="H76" i="1"/>
  <c r="H78" i="1" s="1"/>
  <c r="K111" i="16"/>
  <c r="W26" i="16"/>
  <c r="S68" i="16"/>
  <c r="O68" i="16"/>
  <c r="C106" i="1"/>
  <c r="C117" i="1" s="1"/>
  <c r="I115" i="1"/>
  <c r="I32" i="1" s="1"/>
  <c r="C25" i="1"/>
  <c r="C27" i="1" s="1"/>
  <c r="C21" i="1"/>
  <c r="C15" i="1" s="1"/>
  <c r="W33" i="16"/>
  <c r="W35" i="16" s="1"/>
  <c r="K33" i="16"/>
  <c r="K35" i="16" s="1"/>
  <c r="O29" i="16"/>
  <c r="S103" i="16"/>
  <c r="S104" i="16" s="1"/>
  <c r="H21" i="1"/>
  <c r="H15" i="1" s="1"/>
  <c r="S38" i="16"/>
  <c r="G33" i="16"/>
  <c r="AA29" i="16"/>
  <c r="W20" i="16"/>
  <c r="G16" i="16"/>
  <c r="K68" i="16"/>
  <c r="E78" i="1"/>
  <c r="I25" i="1"/>
  <c r="I27" i="1" s="1"/>
  <c r="G21" i="1"/>
  <c r="G15" i="1" s="1"/>
  <c r="AA68" i="16"/>
  <c r="F106" i="1"/>
  <c r="F117" i="1" s="1"/>
  <c r="W57" i="16"/>
  <c r="J63" i="1"/>
  <c r="J76" i="1"/>
  <c r="J7" i="1" s="1"/>
  <c r="G93" i="16"/>
  <c r="C111" i="16"/>
  <c r="E7" i="1"/>
  <c r="H27" i="1"/>
  <c r="C16" i="1"/>
  <c r="S26" i="16"/>
  <c r="S75" i="16"/>
  <c r="S76" i="16" s="1"/>
  <c r="G75" i="16"/>
  <c r="G76" i="16" s="1"/>
  <c r="E106" i="1"/>
  <c r="L21" i="1"/>
  <c r="J21" i="1"/>
  <c r="E8" i="1"/>
  <c r="K76" i="1"/>
  <c r="K7" i="1" s="1"/>
  <c r="O111" i="16"/>
  <c r="K114" i="16"/>
  <c r="AA75" i="16"/>
  <c r="O75" i="16"/>
  <c r="L106" i="1"/>
  <c r="G106" i="1"/>
  <c r="G117" i="1" s="1"/>
  <c r="W111" i="16"/>
  <c r="S114" i="16"/>
  <c r="G29" i="16"/>
  <c r="AA92" i="16"/>
  <c r="AA93" i="16" s="1"/>
  <c r="C26" i="16"/>
  <c r="G20" i="16"/>
  <c r="G21" i="16" s="1"/>
  <c r="C20" i="16"/>
  <c r="W38" i="16"/>
  <c r="W40" i="16" s="1"/>
  <c r="W9" i="16" s="1"/>
  <c r="R40" i="16"/>
  <c r="R9" i="16" s="1"/>
  <c r="W68" i="16"/>
  <c r="W76" i="16" s="1"/>
  <c r="J106" i="1"/>
  <c r="G63" i="1"/>
  <c r="G78" i="1" s="1"/>
  <c r="I21" i="1"/>
  <c r="I15" i="1" s="1"/>
  <c r="G76" i="1"/>
  <c r="AA114" i="16"/>
  <c r="S111" i="16"/>
  <c r="Q40" i="16"/>
  <c r="Q9" i="16" s="1"/>
  <c r="G114" i="16"/>
  <c r="K29" i="16"/>
  <c r="AA20" i="16"/>
  <c r="AA21" i="16" s="1"/>
  <c r="C33" i="16"/>
  <c r="C35" i="16" s="1"/>
  <c r="C16" i="16"/>
  <c r="C57" i="16"/>
  <c r="H16" i="1"/>
  <c r="D21" i="1"/>
  <c r="J36" i="1"/>
  <c r="J115" i="1"/>
  <c r="J32" i="1" s="1"/>
  <c r="J41" i="1" s="1"/>
  <c r="D25" i="1"/>
  <c r="D27" i="1" s="1"/>
  <c r="F25" i="1"/>
  <c r="K21" i="1"/>
  <c r="K15" i="1" s="1"/>
  <c r="F21" i="1"/>
  <c r="J25" i="1"/>
  <c r="J27" i="1" s="1"/>
  <c r="E25" i="1"/>
  <c r="E27" i="1" s="1"/>
  <c r="C93" i="16"/>
  <c r="P35" i="16"/>
  <c r="AA111" i="16"/>
  <c r="C114" i="16"/>
  <c r="S20" i="16"/>
  <c r="S21" i="16" s="1"/>
  <c r="AC11" i="17"/>
  <c r="AC15" i="17" s="1"/>
  <c r="AC18" i="17" s="1"/>
  <c r="AC27" i="17" s="1"/>
  <c r="AB11" i="17"/>
  <c r="AB15" i="17" s="1"/>
  <c r="AB18" i="17" s="1"/>
  <c r="AB27" i="17" s="1"/>
  <c r="Q11" i="17"/>
  <c r="O11" i="17"/>
  <c r="O15" i="17" s="1"/>
  <c r="O18" i="17" s="1"/>
  <c r="O27" i="17" s="1"/>
  <c r="M15" i="17"/>
  <c r="M18" i="17" s="1"/>
  <c r="M27" i="17" s="1"/>
  <c r="X11" i="17"/>
  <c r="X15" i="17" s="1"/>
  <c r="X18" i="17" s="1"/>
  <c r="X27" i="17" s="1"/>
  <c r="Q25" i="16"/>
  <c r="L35" i="16"/>
  <c r="AD15" i="13"/>
  <c r="H51" i="9"/>
  <c r="H63" i="9"/>
  <c r="F54" i="9"/>
  <c r="K60" i="9"/>
  <c r="J68" i="9"/>
  <c r="J60" i="9"/>
  <c r="H68" i="9"/>
  <c r="F60" i="9"/>
  <c r="E51" i="9"/>
  <c r="H48" i="9"/>
  <c r="AD36" i="13"/>
  <c r="AD31" i="13" s="1"/>
  <c r="AY15" i="13"/>
  <c r="K63" i="9"/>
  <c r="K57" i="9"/>
  <c r="D36" i="9"/>
  <c r="J63" i="9"/>
  <c r="D57" i="9"/>
  <c r="AR15" i="13"/>
  <c r="AF12" i="12"/>
  <c r="BA9" i="12"/>
  <c r="T15" i="15"/>
  <c r="D15" i="15"/>
  <c r="E25" i="15"/>
  <c r="AV17" i="12"/>
  <c r="Y12" i="12"/>
  <c r="AE38" i="12"/>
  <c r="Z25" i="12"/>
  <c r="AM12" i="12"/>
  <c r="AJ43" i="12"/>
  <c r="AO15" i="12"/>
  <c r="Y15" i="12"/>
  <c r="BA12" i="12"/>
  <c r="BA43" i="12"/>
  <c r="AO21" i="12"/>
  <c r="U17" i="12"/>
  <c r="AX12" i="12"/>
  <c r="T12" i="12"/>
  <c r="AO9" i="12"/>
  <c r="Y9" i="12"/>
  <c r="AC115" i="16"/>
  <c r="AC32" i="16" s="1"/>
  <c r="V76" i="16"/>
  <c r="AB36" i="16"/>
  <c r="I25" i="16"/>
  <c r="I27" i="16" s="1"/>
  <c r="Y76" i="16"/>
  <c r="Y8" i="16" s="1"/>
  <c r="Z36" i="16"/>
  <c r="N115" i="16"/>
  <c r="N32" i="16" s="1"/>
  <c r="N41" i="16" s="1"/>
  <c r="H115" i="16"/>
  <c r="H32" i="16" s="1"/>
  <c r="H41" i="16" s="1"/>
  <c r="U63" i="16"/>
  <c r="E76" i="16"/>
  <c r="E7" i="16" s="1"/>
  <c r="S63" i="16"/>
  <c r="V115" i="16"/>
  <c r="V32" i="16" s="1"/>
  <c r="L21" i="16"/>
  <c r="L15" i="16" s="1"/>
  <c r="I76" i="16"/>
  <c r="D76" i="16"/>
  <c r="D8" i="16" s="1"/>
  <c r="L25" i="16"/>
  <c r="L27" i="16" s="1"/>
  <c r="Q35" i="16"/>
  <c r="AC106" i="16"/>
  <c r="L115" i="16"/>
  <c r="L32" i="16" s="1"/>
  <c r="M63" i="16"/>
  <c r="L16" i="16"/>
  <c r="Z106" i="16"/>
  <c r="T63" i="16"/>
  <c r="L63" i="16"/>
  <c r="P25" i="16"/>
  <c r="E25" i="16"/>
  <c r="E27" i="16" s="1"/>
  <c r="X76" i="16"/>
  <c r="X8" i="16" s="1"/>
  <c r="U76" i="16"/>
  <c r="V21" i="16"/>
  <c r="V15" i="16" s="1"/>
  <c r="E21" i="16"/>
  <c r="E15" i="16" s="1"/>
  <c r="Y106" i="16"/>
  <c r="K93" i="16"/>
  <c r="Q115" i="16"/>
  <c r="Q32" i="16" s="1"/>
  <c r="R25" i="16"/>
  <c r="R27" i="16" s="1"/>
  <c r="J25" i="16"/>
  <c r="J27" i="16" s="1"/>
  <c r="AC21" i="16"/>
  <c r="AC15" i="16" s="1"/>
  <c r="C21" i="16"/>
  <c r="C15" i="16" s="1"/>
  <c r="E63" i="16"/>
  <c r="E78" i="16" s="1"/>
  <c r="U35" i="16"/>
  <c r="U41" i="16" s="1"/>
  <c r="X21" i="16"/>
  <c r="X15" i="16" s="1"/>
  <c r="Q21" i="16"/>
  <c r="Q15" i="16" s="1"/>
  <c r="M21" i="16"/>
  <c r="M15" i="16" s="1"/>
  <c r="J21" i="16"/>
  <c r="J15" i="16" s="1"/>
  <c r="T76" i="16"/>
  <c r="F76" i="16"/>
  <c r="F7" i="16" s="1"/>
  <c r="O25" i="16"/>
  <c r="AC63" i="16"/>
  <c r="D63" i="16"/>
  <c r="T35" i="16"/>
  <c r="M25" i="16"/>
  <c r="M27" i="16" s="1"/>
  <c r="D25" i="16"/>
  <c r="D27" i="16" s="1"/>
  <c r="W25" i="16"/>
  <c r="I21" i="16"/>
  <c r="I15" i="16" s="1"/>
  <c r="AB76" i="16"/>
  <c r="AB7" i="16" s="1"/>
  <c r="J106" i="16"/>
  <c r="H76" i="16"/>
  <c r="H7" i="16" s="1"/>
  <c r="AB26" i="16"/>
  <c r="AB27" i="16" s="1"/>
  <c r="Y26" i="16"/>
  <c r="AC25" i="16"/>
  <c r="AC27" i="16" s="1"/>
  <c r="R76" i="16"/>
  <c r="N76" i="16"/>
  <c r="N7" i="16" s="1"/>
  <c r="U36" i="16"/>
  <c r="L117" i="16"/>
  <c r="BB38" i="12"/>
  <c r="BB40" i="12" s="1"/>
  <c r="AF51" i="17" s="1"/>
  <c r="AI37" i="12"/>
  <c r="BC31" i="12"/>
  <c r="BC38" i="12" s="1"/>
  <c r="AV43" i="12"/>
  <c r="L25" i="15"/>
  <c r="AL46" i="12"/>
  <c r="AL47" i="12" s="1"/>
  <c r="M21" i="12"/>
  <c r="AC54" i="17"/>
  <c r="AC63" i="17" s="1"/>
  <c r="AC75" i="17" s="1"/>
  <c r="AC113" i="17" s="1"/>
  <c r="AH25" i="12"/>
  <c r="AA11" i="17"/>
  <c r="AA15" i="17" s="1"/>
  <c r="AA18" i="17" s="1"/>
  <c r="AA27" i="17" s="1"/>
  <c r="AW37" i="12"/>
  <c r="BD37" i="12"/>
  <c r="I41" i="1"/>
  <c r="C41" i="1"/>
  <c r="AE21" i="17"/>
  <c r="AE26" i="17" s="1"/>
  <c r="AG21" i="17"/>
  <c r="AG26" i="17" s="1"/>
  <c r="AG45" i="17" s="1"/>
  <c r="AF21" i="17"/>
  <c r="AF26" i="17" s="1"/>
  <c r="L36" i="1"/>
  <c r="L40" i="16"/>
  <c r="AA36" i="16"/>
  <c r="AI63" i="13"/>
  <c r="J58" i="13"/>
  <c r="AI39" i="13"/>
  <c r="AI34" i="13"/>
  <c r="AI25" i="13"/>
  <c r="U66" i="13"/>
  <c r="C61" i="13"/>
  <c r="C46" i="13"/>
  <c r="AI38" i="13"/>
  <c r="AG25" i="13"/>
  <c r="U52" i="13"/>
  <c r="AI28" i="13"/>
  <c r="U65" i="13"/>
  <c r="U61" i="13"/>
  <c r="U58" i="13"/>
  <c r="U55" i="13"/>
  <c r="C49" i="13"/>
  <c r="J65" i="13"/>
  <c r="C58" i="13"/>
  <c r="AZ38" i="13"/>
  <c r="S38" i="13"/>
  <c r="Z28" i="13"/>
  <c r="J46" i="13"/>
  <c r="AP22" i="13"/>
  <c r="Z34" i="13"/>
  <c r="J66" i="13"/>
  <c r="C65" i="13"/>
  <c r="J55" i="13"/>
  <c r="Z63" i="13"/>
  <c r="AZ34" i="13"/>
  <c r="S34" i="13"/>
  <c r="AZ31" i="13"/>
  <c r="S28" i="13"/>
  <c r="AZ25" i="13"/>
  <c r="S25" i="13"/>
  <c r="C66" i="13"/>
  <c r="AG55" i="13"/>
  <c r="C55" i="13"/>
  <c r="J52" i="13"/>
  <c r="Z39" i="13"/>
  <c r="AW31" i="13"/>
  <c r="S31" i="13"/>
  <c r="AZ28" i="13"/>
  <c r="AF36" i="13"/>
  <c r="AF34" i="13" s="1"/>
  <c r="C52" i="13"/>
  <c r="AZ39" i="13"/>
  <c r="AZ63" i="13"/>
  <c r="J61" i="13"/>
  <c r="J49" i="13"/>
  <c r="Z38" i="13"/>
  <c r="AN46" i="12"/>
  <c r="AN47" i="12" s="1"/>
  <c r="Z17" i="12"/>
  <c r="AF15" i="12"/>
  <c r="O12" i="12"/>
  <c r="K15" i="15"/>
  <c r="M9" i="12"/>
  <c r="AT21" i="12"/>
  <c r="AF43" i="12"/>
  <c r="AI46" i="12"/>
  <c r="AI47" i="12" s="1"/>
  <c r="R24" i="12"/>
  <c r="R7" i="15" s="1"/>
  <c r="M24" i="12"/>
  <c r="M31" i="12" s="1"/>
  <c r="AE46" i="12"/>
  <c r="AE47" i="12" s="1"/>
  <c r="AQ21" i="12"/>
  <c r="R15" i="15"/>
  <c r="E25" i="12"/>
  <c r="AX9" i="12"/>
  <c r="E46" i="12"/>
  <c r="E47" i="12" s="1"/>
  <c r="E40" i="12"/>
  <c r="D51" i="17" s="1"/>
  <c r="D54" i="17" s="1"/>
  <c r="D63" i="17" s="1"/>
  <c r="D75" i="17" s="1"/>
  <c r="D113" i="17" s="1"/>
  <c r="D118" i="17" s="1"/>
  <c r="D24" i="12"/>
  <c r="D31" i="12" s="1"/>
  <c r="D38" i="12" s="1"/>
  <c r="AF9" i="12"/>
  <c r="AE11" i="17"/>
  <c r="AE15" i="17" s="1"/>
  <c r="AE18" i="17" s="1"/>
  <c r="AE27" i="17" s="1"/>
  <c r="AW46" i="12"/>
  <c r="AW47" i="12" s="1"/>
  <c r="O43" i="12"/>
  <c r="G31" i="12"/>
  <c r="AF25" i="12"/>
  <c r="AV9" i="12"/>
  <c r="AH12" i="12"/>
  <c r="R9" i="12"/>
  <c r="AF21" i="12"/>
  <c r="AH31" i="12"/>
  <c r="G25" i="12"/>
  <c r="Z31" i="12"/>
  <c r="AC43" i="12"/>
  <c r="H43" i="12"/>
  <c r="AV15" i="12"/>
  <c r="AI40" i="12"/>
  <c r="U51" i="17" s="1"/>
  <c r="U54" i="17" s="1"/>
  <c r="U63" i="17" s="1"/>
  <c r="U75" i="17" s="1"/>
  <c r="U31" i="12"/>
  <c r="BA17" i="12"/>
  <c r="AT15" i="12"/>
  <c r="M15" i="12"/>
  <c r="AV21" i="12"/>
  <c r="AU38" i="12"/>
  <c r="AU40" i="12" s="1"/>
  <c r="AB51" i="17" s="1"/>
  <c r="AB54" i="17" s="1"/>
  <c r="AB63" i="17" s="1"/>
  <c r="AB75" i="17" s="1"/>
  <c r="AB113" i="17" s="1"/>
  <c r="V43" i="12"/>
  <c r="U25" i="12"/>
  <c r="AB17" i="12"/>
  <c r="Y24" i="12"/>
  <c r="Y7" i="15" s="1"/>
  <c r="Y25" i="15" s="1"/>
  <c r="M12" i="12"/>
  <c r="AM15" i="12"/>
  <c r="F15" i="12"/>
  <c r="W113" i="17"/>
  <c r="T11" i="17"/>
  <c r="T15" i="17" s="1"/>
  <c r="T18" i="17" s="1"/>
  <c r="T27" i="17" s="1"/>
  <c r="I15" i="17"/>
  <c r="I18" i="17" s="1"/>
  <c r="I27" i="17" s="1"/>
  <c r="S98" i="17"/>
  <c r="S11" i="17"/>
  <c r="S15" i="17" s="1"/>
  <c r="S18" i="17" s="1"/>
  <c r="S27" i="17" s="1"/>
  <c r="H15" i="17"/>
  <c r="H18" i="17" s="1"/>
  <c r="H27" i="17" s="1"/>
  <c r="L15" i="17"/>
  <c r="L18" i="17" s="1"/>
  <c r="L27" i="17" s="1"/>
  <c r="Q15" i="17"/>
  <c r="Q18" i="17" s="1"/>
  <c r="Q27" i="17" s="1"/>
  <c r="E15" i="17"/>
  <c r="E18" i="17" s="1"/>
  <c r="E27" i="17" s="1"/>
  <c r="E42" i="17" s="1"/>
  <c r="E45" i="17" s="1"/>
  <c r="Y11" i="17"/>
  <c r="Y15" i="17" s="1"/>
  <c r="Y18" i="17" s="1"/>
  <c r="Y27" i="17" s="1"/>
  <c r="W15" i="17"/>
  <c r="W18" i="17" s="1"/>
  <c r="W27" i="17" s="1"/>
  <c r="D15" i="17"/>
  <c r="D18" i="17" s="1"/>
  <c r="D27" i="17" s="1"/>
  <c r="D42" i="17" s="1"/>
  <c r="D45" i="17" s="1"/>
  <c r="AM31" i="12"/>
  <c r="AM38" i="12" s="1"/>
  <c r="C25" i="12"/>
  <c r="R12" i="12"/>
  <c r="AH9" i="12"/>
  <c r="M15" i="15"/>
  <c r="AH43" i="12"/>
  <c r="J37" i="12"/>
  <c r="C31" i="12"/>
  <c r="C38" i="12" s="1"/>
  <c r="Q25" i="12"/>
  <c r="AA24" i="12"/>
  <c r="AA25" i="12" s="1"/>
  <c r="H24" i="12"/>
  <c r="H7" i="15" s="1"/>
  <c r="R15" i="12"/>
  <c r="Q31" i="12"/>
  <c r="L25" i="12"/>
  <c r="K24" i="12"/>
  <c r="K25" i="12" s="1"/>
  <c r="C17" i="12"/>
  <c r="F12" i="12"/>
  <c r="T9" i="12"/>
  <c r="D9" i="12"/>
  <c r="L31" i="12"/>
  <c r="AM25" i="12"/>
  <c r="AQ43" i="12"/>
  <c r="AA43" i="12"/>
  <c r="T24" i="12"/>
  <c r="T7" i="15" s="1"/>
  <c r="J17" i="12"/>
  <c r="D21" i="12"/>
  <c r="AT9" i="12"/>
  <c r="AC9" i="12"/>
  <c r="F15" i="15"/>
  <c r="BB46" i="12"/>
  <c r="BB47" i="12" s="1"/>
  <c r="AM21" i="12"/>
  <c r="R17" i="12"/>
  <c r="E17" i="12"/>
  <c r="AQ9" i="12"/>
  <c r="BC43" i="12"/>
  <c r="BC12" i="12"/>
  <c r="BC21" i="12"/>
  <c r="BC15" i="12"/>
  <c r="AT25" i="15"/>
  <c r="AH25" i="15"/>
  <c r="AA63" i="13"/>
  <c r="AA52" i="13" s="1"/>
  <c r="AL61" i="13"/>
  <c r="Q55" i="13"/>
  <c r="AW28" i="13"/>
  <c r="AE49" i="13"/>
  <c r="AH63" i="13"/>
  <c r="AH61" i="13" s="1"/>
  <c r="AW38" i="13"/>
  <c r="AN28" i="13"/>
  <c r="AW25" i="13"/>
  <c r="AB46" i="13"/>
  <c r="AN38" i="13"/>
  <c r="AZ58" i="13"/>
  <c r="AB55" i="13"/>
  <c r="U49" i="13"/>
  <c r="AW63" i="13"/>
  <c r="AW46" i="13" s="1"/>
  <c r="Z31" i="13"/>
  <c r="X22" i="13"/>
  <c r="AZ52" i="13"/>
  <c r="AN39" i="13"/>
  <c r="AH22" i="13"/>
  <c r="G40" i="9"/>
  <c r="G30" i="9"/>
  <c r="G27" i="9"/>
  <c r="K68" i="9"/>
  <c r="F57" i="9"/>
  <c r="D54" i="9"/>
  <c r="I41" i="9"/>
  <c r="G57" i="9"/>
  <c r="P63" i="13"/>
  <c r="P65" i="13" s="1"/>
  <c r="G60" i="9"/>
  <c r="E57" i="9"/>
  <c r="L48" i="9"/>
  <c r="G48" i="9"/>
  <c r="H41" i="9"/>
  <c r="I30" i="9"/>
  <c r="E38" i="9"/>
  <c r="E33" i="9" s="1"/>
  <c r="AD39" i="13"/>
  <c r="I63" i="13"/>
  <c r="I52" i="13" s="1"/>
  <c r="G54" i="9"/>
  <c r="G63" i="9"/>
  <c r="F63" i="9"/>
  <c r="E60" i="9"/>
  <c r="I68" i="9"/>
  <c r="G69" i="9"/>
  <c r="G68" i="9"/>
  <c r="E63" i="9"/>
  <c r="G51" i="9"/>
  <c r="I40" i="9"/>
  <c r="AD25" i="13"/>
  <c r="F69" i="9"/>
  <c r="F68" i="9"/>
  <c r="D63" i="9"/>
  <c r="L57" i="9"/>
  <c r="H54" i="9"/>
  <c r="F51" i="9"/>
  <c r="J36" i="9"/>
  <c r="I27" i="9"/>
  <c r="J25" i="13"/>
  <c r="J38" i="13"/>
  <c r="J39" i="13"/>
  <c r="J22" i="13"/>
  <c r="J28" i="13"/>
  <c r="J31" i="13"/>
  <c r="J34" i="13"/>
  <c r="G22" i="13"/>
  <c r="G25" i="13"/>
  <c r="G38" i="13"/>
  <c r="G28" i="13"/>
  <c r="G31" i="13"/>
  <c r="G34" i="13"/>
  <c r="G39" i="13"/>
  <c r="N22" i="13"/>
  <c r="N39" i="13"/>
  <c r="N25" i="13"/>
  <c r="N38" i="13"/>
  <c r="N28" i="13"/>
  <c r="N34" i="13"/>
  <c r="C28" i="13"/>
  <c r="C31" i="13"/>
  <c r="C34" i="13"/>
  <c r="C25" i="13"/>
  <c r="C38" i="13"/>
  <c r="C39" i="13"/>
  <c r="C22" i="13"/>
  <c r="AG61" i="13"/>
  <c r="G49" i="13"/>
  <c r="AS63" i="13"/>
  <c r="AS34" i="13"/>
  <c r="AH31" i="13"/>
  <c r="AN25" i="13"/>
  <c r="BA36" i="13"/>
  <c r="AV36" i="13"/>
  <c r="AV63" i="13" s="1"/>
  <c r="Y36" i="13"/>
  <c r="Y34" i="13" s="1"/>
  <c r="AS25" i="13"/>
  <c r="R36" i="13"/>
  <c r="R39" i="13" s="1"/>
  <c r="G46" i="13"/>
  <c r="AH39" i="13"/>
  <c r="AH38" i="13"/>
  <c r="AB34" i="13"/>
  <c r="AH28" i="13"/>
  <c r="AF28" i="13"/>
  <c r="AG52" i="13"/>
  <c r="AN63" i="13"/>
  <c r="AN34" i="13"/>
  <c r="AB25" i="13"/>
  <c r="AG66" i="13"/>
  <c r="AG58" i="13"/>
  <c r="G55" i="13"/>
  <c r="M63" i="13"/>
  <c r="M66" i="13" s="1"/>
  <c r="AW22" i="13"/>
  <c r="AL22" i="13"/>
  <c r="AH25" i="13"/>
  <c r="Z22" i="13"/>
  <c r="T36" i="13"/>
  <c r="T34" i="13" s="1"/>
  <c r="G66" i="13"/>
  <c r="G61" i="13"/>
  <c r="AH52" i="13"/>
  <c r="AS39" i="13"/>
  <c r="AS31" i="13"/>
  <c r="AB31" i="13"/>
  <c r="AF25" i="13"/>
  <c r="I58" i="13"/>
  <c r="AH58" i="13"/>
  <c r="G52" i="13"/>
  <c r="AG49" i="13"/>
  <c r="O63" i="13"/>
  <c r="O46" i="13" s="1"/>
  <c r="AS38" i="13"/>
  <c r="AB38" i="13"/>
  <c r="AS28" i="13"/>
  <c r="AB28" i="13"/>
  <c r="AN22" i="13"/>
  <c r="AD27" i="16"/>
  <c r="AD106" i="16"/>
  <c r="AD115" i="16"/>
  <c r="AD32" i="16" s="1"/>
  <c r="AD40" i="16"/>
  <c r="AD21" i="16"/>
  <c r="AD15" i="16" s="1"/>
  <c r="AD35" i="16"/>
  <c r="AC76" i="16"/>
  <c r="Z76" i="16"/>
  <c r="Z7" i="16" s="1"/>
  <c r="P76" i="16"/>
  <c r="L76" i="16"/>
  <c r="J76" i="16"/>
  <c r="J7" i="16" s="1"/>
  <c r="AB57" i="16"/>
  <c r="AB63" i="16" s="1"/>
  <c r="AB115" i="16"/>
  <c r="AB32" i="16" s="1"/>
  <c r="AB41" i="16" s="1"/>
  <c r="Z115" i="16"/>
  <c r="Z32" i="16" s="1"/>
  <c r="Z41" i="16" s="1"/>
  <c r="E115" i="16"/>
  <c r="E32" i="16" s="1"/>
  <c r="E41" i="16" s="1"/>
  <c r="C25" i="16"/>
  <c r="N25" i="16"/>
  <c r="N27" i="16" s="1"/>
  <c r="F25" i="16"/>
  <c r="F27" i="16" s="1"/>
  <c r="X63" i="16"/>
  <c r="P63" i="16"/>
  <c r="H63" i="16"/>
  <c r="P36" i="16"/>
  <c r="S25" i="16"/>
  <c r="K25" i="16"/>
  <c r="K27" i="16" s="1"/>
  <c r="V16" i="16"/>
  <c r="Z21" i="16"/>
  <c r="Z15" i="16" s="1"/>
  <c r="P21" i="16"/>
  <c r="P15" i="16" s="1"/>
  <c r="Z63" i="16"/>
  <c r="R63" i="16"/>
  <c r="J63" i="16"/>
  <c r="Y115" i="16"/>
  <c r="Y32" i="16" s="1"/>
  <c r="Y41" i="16" s="1"/>
  <c r="P115" i="16"/>
  <c r="P32" i="16" s="1"/>
  <c r="J115" i="16"/>
  <c r="J32" i="16" s="1"/>
  <c r="J41" i="16" s="1"/>
  <c r="D115" i="16"/>
  <c r="D32" i="16" s="1"/>
  <c r="D41" i="16" s="1"/>
  <c r="H25" i="16"/>
  <c r="H27" i="16" s="1"/>
  <c r="J16" i="16"/>
  <c r="T21" i="16"/>
  <c r="T15" i="16" s="1"/>
  <c r="C63" i="16"/>
  <c r="R104" i="16"/>
  <c r="R106" i="16" s="1"/>
  <c r="Q76" i="16"/>
  <c r="M76" i="16"/>
  <c r="X106" i="16"/>
  <c r="V63" i="16"/>
  <c r="V78" i="16" s="1"/>
  <c r="N63" i="16"/>
  <c r="F63" i="16"/>
  <c r="Y63" i="16"/>
  <c r="Q63" i="16"/>
  <c r="I63" i="16"/>
  <c r="N36" i="16"/>
  <c r="R21" i="16"/>
  <c r="N21" i="16"/>
  <c r="N15" i="16" s="1"/>
  <c r="H21" i="16"/>
  <c r="H15" i="16" s="1"/>
  <c r="Z25" i="16"/>
  <c r="Z27" i="16" s="1"/>
  <c r="U115" i="16"/>
  <c r="U32" i="16" s="1"/>
  <c r="I115" i="16"/>
  <c r="I32" i="16" s="1"/>
  <c r="I41" i="16" s="1"/>
  <c r="Y25" i="16"/>
  <c r="Y27" i="16" s="1"/>
  <c r="Q16" i="16"/>
  <c r="Y21" i="16"/>
  <c r="D21" i="16"/>
  <c r="D15" i="16" s="1"/>
  <c r="AC36" i="16"/>
  <c r="R115" i="16"/>
  <c r="R32" i="16" s="1"/>
  <c r="M115" i="16"/>
  <c r="M32" i="16" s="1"/>
  <c r="M41" i="16" s="1"/>
  <c r="F115" i="16"/>
  <c r="F32" i="16" s="1"/>
  <c r="F41" i="16" s="1"/>
  <c r="X25" i="16"/>
  <c r="X27" i="16" s="1"/>
  <c r="Y16" i="16"/>
  <c r="E16" i="16"/>
  <c r="U21" i="16"/>
  <c r="U15" i="16" s="1"/>
  <c r="BD40" i="12"/>
  <c r="AG51" i="17" s="1"/>
  <c r="AG54" i="17" s="1"/>
  <c r="AG63" i="17" s="1"/>
  <c r="AG75" i="17" s="1"/>
  <c r="AG113" i="17" s="1"/>
  <c r="BD46" i="12"/>
  <c r="BD47" i="12" s="1"/>
  <c r="BC25" i="12"/>
  <c r="BC9" i="12"/>
  <c r="BC17" i="12"/>
  <c r="AP40" i="12"/>
  <c r="Y51" i="17" s="1"/>
  <c r="Y54" i="17" s="1"/>
  <c r="Y63" i="17" s="1"/>
  <c r="Y75" i="17" s="1"/>
  <c r="Y113" i="17" s="1"/>
  <c r="AP46" i="12"/>
  <c r="AP47" i="12" s="1"/>
  <c r="J46" i="6"/>
  <c r="J47" i="6" s="1"/>
  <c r="J40" i="6"/>
  <c r="J51" i="11" s="1"/>
  <c r="J54" i="11" s="1"/>
  <c r="J63" i="11" s="1"/>
  <c r="J75" i="11" s="1"/>
  <c r="J113" i="11" s="1"/>
  <c r="AX43" i="12"/>
  <c r="AX31" i="12"/>
  <c r="S40" i="12"/>
  <c r="L51" i="17" s="1"/>
  <c r="L54" i="17" s="1"/>
  <c r="L63" i="17" s="1"/>
  <c r="L75" i="17" s="1"/>
  <c r="L113" i="17" s="1"/>
  <c r="S46" i="12"/>
  <c r="S47" i="12" s="1"/>
  <c r="G40" i="6"/>
  <c r="G46" i="6"/>
  <c r="G47" i="6" s="1"/>
  <c r="J46" i="12"/>
  <c r="J47" i="12" s="1"/>
  <c r="J40" i="12"/>
  <c r="G51" i="17" s="1"/>
  <c r="G54" i="17" s="1"/>
  <c r="G63" i="17" s="1"/>
  <c r="G75" i="17" s="1"/>
  <c r="G113" i="17" s="1"/>
  <c r="AD43" i="12"/>
  <c r="AP37" i="12"/>
  <c r="AY31" i="12"/>
  <c r="AR7" i="15"/>
  <c r="AR25" i="15" s="1"/>
  <c r="AQ24" i="12"/>
  <c r="AR25" i="12"/>
  <c r="AR17" i="12"/>
  <c r="AK7" i="15"/>
  <c r="AK25" i="15" s="1"/>
  <c r="AK25" i="12"/>
  <c r="AJ24" i="12"/>
  <c r="W15" i="15"/>
  <c r="V15" i="15" s="1"/>
  <c r="AC22" i="12"/>
  <c r="AC24" i="12" s="1"/>
  <c r="V19" i="12"/>
  <c r="W21" i="12"/>
  <c r="W24" i="12"/>
  <c r="N7" i="15"/>
  <c r="N25" i="15" s="1"/>
  <c r="N17" i="12"/>
  <c r="N31" i="12"/>
  <c r="N25" i="12"/>
  <c r="F25" i="12"/>
  <c r="V7" i="17"/>
  <c r="AK15" i="12"/>
  <c r="V54" i="13"/>
  <c r="W63" i="13"/>
  <c r="W66" i="13" s="1"/>
  <c r="T63" i="13"/>
  <c r="T52" i="13" s="1"/>
  <c r="N7" i="17"/>
  <c r="N11" i="17" s="1"/>
  <c r="W15" i="12"/>
  <c r="K27" i="9"/>
  <c r="K40" i="9"/>
  <c r="K30" i="9"/>
  <c r="K41" i="9"/>
  <c r="K24" i="9"/>
  <c r="E36" i="13"/>
  <c r="E66" i="13"/>
  <c r="E49" i="13"/>
  <c r="E61" i="13"/>
  <c r="E58" i="13"/>
  <c r="E46" i="13"/>
  <c r="E65" i="13"/>
  <c r="E55" i="13"/>
  <c r="F31" i="6"/>
  <c r="I25" i="6"/>
  <c r="AD52" i="17"/>
  <c r="AF54" i="17"/>
  <c r="AF63" i="17" s="1"/>
  <c r="AF75" i="17" s="1"/>
  <c r="AF113" i="17" s="1"/>
  <c r="AS38" i="12"/>
  <c r="AG37" i="12"/>
  <c r="AC36" i="12"/>
  <c r="R31" i="12"/>
  <c r="R25" i="12"/>
  <c r="AR21" i="12"/>
  <c r="I15" i="12"/>
  <c r="AD7" i="17"/>
  <c r="AY15" i="12"/>
  <c r="AH15" i="12"/>
  <c r="AV12" i="12"/>
  <c r="K33" i="9"/>
  <c r="AL52" i="13"/>
  <c r="AL58" i="13"/>
  <c r="AL46" i="13"/>
  <c r="AL55" i="13"/>
  <c r="AL49" i="13"/>
  <c r="AL65" i="13"/>
  <c r="K63" i="13"/>
  <c r="K65" i="13" s="1"/>
  <c r="K38" i="6"/>
  <c r="AE40" i="12"/>
  <c r="S51" i="17" s="1"/>
  <c r="S54" i="17" s="1"/>
  <c r="S63" i="17" s="1"/>
  <c r="S75" i="17" s="1"/>
  <c r="AZ38" i="12"/>
  <c r="AX17" i="12"/>
  <c r="AO7" i="15"/>
  <c r="AO25" i="15" s="1"/>
  <c r="AV7" i="15" s="1"/>
  <c r="AV25" i="15" s="1"/>
  <c r="AO31" i="12"/>
  <c r="AO17" i="12"/>
  <c r="AC12" i="12"/>
  <c r="AY9" i="12"/>
  <c r="H7" i="12"/>
  <c r="H9" i="12" s="1"/>
  <c r="I9" i="12"/>
  <c r="I48" i="9"/>
  <c r="I57" i="9"/>
  <c r="I69" i="9"/>
  <c r="I60" i="9"/>
  <c r="I51" i="9"/>
  <c r="I63" i="9"/>
  <c r="X46" i="13"/>
  <c r="X49" i="13"/>
  <c r="X55" i="13"/>
  <c r="X61" i="13"/>
  <c r="X66" i="13"/>
  <c r="X58" i="13"/>
  <c r="AM36" i="13"/>
  <c r="AM22" i="13" s="1"/>
  <c r="D7" i="10"/>
  <c r="D25" i="10" s="1"/>
  <c r="E7" i="10"/>
  <c r="E25" i="10" s="1"/>
  <c r="E31" i="6"/>
  <c r="H25" i="6"/>
  <c r="I38" i="6"/>
  <c r="L31" i="6"/>
  <c r="D31" i="6"/>
  <c r="D38" i="6" s="1"/>
  <c r="G25" i="6"/>
  <c r="F17" i="6"/>
  <c r="AY43" i="12"/>
  <c r="AH35" i="12"/>
  <c r="AK31" i="12"/>
  <c r="AA31" i="12"/>
  <c r="P31" i="12"/>
  <c r="AQ12" i="12"/>
  <c r="AM9" i="12"/>
  <c r="V7" i="12"/>
  <c r="V9" i="12" s="1"/>
  <c r="W9" i="12"/>
  <c r="F21" i="12"/>
  <c r="F9" i="12"/>
  <c r="L36" i="9"/>
  <c r="H33" i="9"/>
  <c r="H36" i="9"/>
  <c r="H27" i="9"/>
  <c r="H40" i="9"/>
  <c r="D27" i="9"/>
  <c r="D40" i="9"/>
  <c r="D30" i="9"/>
  <c r="D41" i="9"/>
  <c r="D33" i="9"/>
  <c r="X52" i="13"/>
  <c r="AA46" i="13"/>
  <c r="AA55" i="13"/>
  <c r="AA49" i="13"/>
  <c r="M61" i="13"/>
  <c r="O21" i="12"/>
  <c r="O24" i="12"/>
  <c r="X7" i="15"/>
  <c r="X25" i="15" s="1"/>
  <c r="X17" i="12"/>
  <c r="X31" i="12"/>
  <c r="I31" i="12"/>
  <c r="AJ7" i="12"/>
  <c r="AK21" i="12"/>
  <c r="AK9" i="12"/>
  <c r="K36" i="9"/>
  <c r="G33" i="9"/>
  <c r="G36" i="9"/>
  <c r="G24" i="9"/>
  <c r="C38" i="9"/>
  <c r="C48" i="9"/>
  <c r="C54" i="9"/>
  <c r="C68" i="9"/>
  <c r="C57" i="9"/>
  <c r="C69" i="9"/>
  <c r="C60" i="9"/>
  <c r="W52" i="13"/>
  <c r="AC63" i="13"/>
  <c r="AC49" i="13" s="1"/>
  <c r="H38" i="6"/>
  <c r="I17" i="6"/>
  <c r="AG38" i="12"/>
  <c r="V36" i="12"/>
  <c r="H36" i="12"/>
  <c r="AR31" i="12"/>
  <c r="AV31" i="12"/>
  <c r="AV38" i="12" s="1"/>
  <c r="AF7" i="15"/>
  <c r="AF25" i="15" s="1"/>
  <c r="AF31" i="12"/>
  <c r="AF38" i="12" s="1"/>
  <c r="AD63" i="13"/>
  <c r="AD52" i="13" s="1"/>
  <c r="D25" i="6"/>
  <c r="P43" i="12"/>
  <c r="H39" i="12"/>
  <c r="AH36" i="12"/>
  <c r="BA31" i="12"/>
  <c r="AT31" i="12"/>
  <c r="AT38" i="12" s="1"/>
  <c r="AT25" i="12"/>
  <c r="AT17" i="12"/>
  <c r="AK17" i="12"/>
  <c r="S7" i="15"/>
  <c r="S25" i="15" s="1"/>
  <c r="S17" i="12"/>
  <c r="V14" i="12"/>
  <c r="H14" i="12"/>
  <c r="O9" i="12"/>
  <c r="O15" i="12"/>
  <c r="G41" i="9"/>
  <c r="L27" i="9"/>
  <c r="L40" i="9"/>
  <c r="L30" i="9"/>
  <c r="L41" i="9"/>
  <c r="L33" i="9"/>
  <c r="F36" i="9"/>
  <c r="F24" i="9"/>
  <c r="F27" i="9"/>
  <c r="F40" i="9"/>
  <c r="F30" i="9"/>
  <c r="F41" i="9"/>
  <c r="E52" i="13"/>
  <c r="AH66" i="13"/>
  <c r="F8" i="1"/>
  <c r="F7" i="1"/>
  <c r="D7" i="1"/>
  <c r="D8" i="1"/>
  <c r="AP49" i="13"/>
  <c r="R63" i="13"/>
  <c r="AO36" i="13"/>
  <c r="L36" i="13"/>
  <c r="L52" i="13"/>
  <c r="L58" i="13"/>
  <c r="L46" i="13"/>
  <c r="G7" i="15"/>
  <c r="G25" i="15" s="1"/>
  <c r="F78" i="1"/>
  <c r="L15" i="1"/>
  <c r="AD24" i="12"/>
  <c r="I15" i="15"/>
  <c r="H15" i="15" s="1"/>
  <c r="AQ14" i="12"/>
  <c r="AQ15" i="12" s="1"/>
  <c r="AC14" i="12"/>
  <c r="AC15" i="12" s="1"/>
  <c r="AT12" i="12"/>
  <c r="AD12" i="12"/>
  <c r="E68" i="9"/>
  <c r="E54" i="9"/>
  <c r="F48" i="9"/>
  <c r="J33" i="9"/>
  <c r="AP66" i="13"/>
  <c r="AP61" i="13"/>
  <c r="O49" i="13"/>
  <c r="AC36" i="13"/>
  <c r="AC28" i="13" s="1"/>
  <c r="AM7" i="15"/>
  <c r="AM25" i="15" s="1"/>
  <c r="K32" i="1"/>
  <c r="K41" i="1" s="1"/>
  <c r="AH17" i="12"/>
  <c r="V22" i="12"/>
  <c r="Q17" i="12"/>
  <c r="L17" i="12"/>
  <c r="J69" i="9"/>
  <c r="L68" i="9"/>
  <c r="H60" i="9"/>
  <c r="J57" i="9"/>
  <c r="L54" i="9"/>
  <c r="J48" i="9"/>
  <c r="I33" i="9"/>
  <c r="H63" i="13"/>
  <c r="H52" i="13" s="1"/>
  <c r="Y31" i="13"/>
  <c r="AA36" i="13"/>
  <c r="AA34" i="13" s="1"/>
  <c r="G26" i="11"/>
  <c r="F9" i="1"/>
  <c r="F53" i="6" s="1"/>
  <c r="F54" i="6" s="1"/>
  <c r="D12" i="12"/>
  <c r="M46" i="13"/>
  <c r="F63" i="13"/>
  <c r="F66" i="13" s="1"/>
  <c r="H69" i="9"/>
  <c r="L63" i="9"/>
  <c r="D63" i="13"/>
  <c r="D52" i="13" s="1"/>
  <c r="AM31" i="13"/>
  <c r="Y25" i="13"/>
  <c r="Y22" i="13"/>
  <c r="V21" i="13"/>
  <c r="W36" i="13"/>
  <c r="W22" i="13" s="1"/>
  <c r="P15" i="13"/>
  <c r="G41" i="1"/>
  <c r="O97" i="16"/>
  <c r="O26" i="16" s="1"/>
  <c r="I104" i="1"/>
  <c r="AA33" i="16"/>
  <c r="AA35" i="16" s="1"/>
  <c r="BA25" i="13"/>
  <c r="H115" i="1"/>
  <c r="F15" i="1"/>
  <c r="J21" i="17"/>
  <c r="J26" i="17" s="1"/>
  <c r="H21" i="17"/>
  <c r="H26" i="17" s="1"/>
  <c r="G21" i="17"/>
  <c r="G26" i="17" s="1"/>
  <c r="I21" i="17"/>
  <c r="I26" i="17" s="1"/>
  <c r="E9" i="1"/>
  <c r="E53" i="6" s="1"/>
  <c r="E54" i="6" s="1"/>
  <c r="W114" i="16"/>
  <c r="S21" i="17"/>
  <c r="S26" i="17" s="1"/>
  <c r="T21" i="17"/>
  <c r="T26" i="17" s="1"/>
  <c r="U21" i="17"/>
  <c r="U26" i="17" s="1"/>
  <c r="J26" i="11"/>
  <c r="V21" i="17"/>
  <c r="V26" i="17" s="1"/>
  <c r="I36" i="1"/>
  <c r="I9" i="1"/>
  <c r="I53" i="6" s="1"/>
  <c r="I54" i="6" s="1"/>
  <c r="D9" i="1"/>
  <c r="D53" i="6" s="1"/>
  <c r="D54" i="6" s="1"/>
  <c r="AB106" i="16"/>
  <c r="T115" i="16"/>
  <c r="T32" i="16" s="1"/>
  <c r="G111" i="16"/>
  <c r="K16" i="1"/>
  <c r="G8" i="1"/>
  <c r="G7" i="1"/>
  <c r="AC41" i="16"/>
  <c r="E28" i="16"/>
  <c r="V9" i="16"/>
  <c r="V36" i="16"/>
  <c r="AT36" i="13"/>
  <c r="AT28" i="13" s="1"/>
  <c r="R21" i="17"/>
  <c r="R26" i="17" s="1"/>
  <c r="I26" i="11"/>
  <c r="P21" i="17"/>
  <c r="P26" i="17" s="1"/>
  <c r="O21" i="17"/>
  <c r="O26" i="17" s="1"/>
  <c r="Q21" i="17"/>
  <c r="Q26" i="17" s="1"/>
  <c r="Q42" i="17" s="1"/>
  <c r="Q45" i="17" s="1"/>
  <c r="AA65" i="16"/>
  <c r="AA23" i="16" s="1"/>
  <c r="AA25" i="16" s="1"/>
  <c r="L76" i="1"/>
  <c r="C76" i="1"/>
  <c r="O20" i="16"/>
  <c r="O21" i="16" s="1"/>
  <c r="O63" i="16"/>
  <c r="X9" i="16"/>
  <c r="X36" i="16"/>
  <c r="AB58" i="13"/>
  <c r="AW39" i="13"/>
  <c r="AP38" i="13"/>
  <c r="AF38" i="13"/>
  <c r="N31" i="13"/>
  <c r="L115" i="1"/>
  <c r="L32" i="1" s="1"/>
  <c r="L41" i="1" s="1"/>
  <c r="D115" i="1"/>
  <c r="D32" i="1" s="1"/>
  <c r="D41" i="1" s="1"/>
  <c r="G25" i="1"/>
  <c r="G27" i="1" s="1"/>
  <c r="G28" i="1"/>
  <c r="G30" i="1" s="1"/>
  <c r="K21" i="17"/>
  <c r="K26" i="17" s="1"/>
  <c r="H26" i="11"/>
  <c r="H42" i="11" s="1"/>
  <c r="H45" i="11" s="1"/>
  <c r="L21" i="17"/>
  <c r="L26" i="17" s="1"/>
  <c r="M21" i="17"/>
  <c r="M26" i="17" s="1"/>
  <c r="N21" i="17"/>
  <c r="N26" i="17" s="1"/>
  <c r="G9" i="1"/>
  <c r="G53" i="6" s="1"/>
  <c r="G54" i="6" s="1"/>
  <c r="D26" i="11"/>
  <c r="C9" i="1"/>
  <c r="C53" i="6" s="1"/>
  <c r="C54" i="6" s="1"/>
  <c r="AA63" i="16"/>
  <c r="W63" i="16"/>
  <c r="O33" i="16"/>
  <c r="O35" i="16" s="1"/>
  <c r="O93" i="16"/>
  <c r="G35" i="16"/>
  <c r="E30" i="16"/>
  <c r="AA26" i="16"/>
  <c r="O38" i="16"/>
  <c r="O40" i="16" s="1"/>
  <c r="R13" i="17"/>
  <c r="I15" i="11"/>
  <c r="I18" i="11" s="1"/>
  <c r="I27" i="11" s="1"/>
  <c r="L23" i="1"/>
  <c r="L25" i="1" s="1"/>
  <c r="L27" i="1" s="1"/>
  <c r="L28" i="1" s="1"/>
  <c r="L30" i="1" s="1"/>
  <c r="F27" i="1"/>
  <c r="F28" i="1" s="1"/>
  <c r="F30" i="1" s="1"/>
  <c r="AA21" i="17"/>
  <c r="AA26" i="17" s="1"/>
  <c r="AB21" i="17"/>
  <c r="AB26" i="17" s="1"/>
  <c r="AC21" i="17"/>
  <c r="AC26" i="17" s="1"/>
  <c r="AD21" i="17"/>
  <c r="AD26" i="17" s="1"/>
  <c r="L26" i="11"/>
  <c r="K36" i="1"/>
  <c r="W93" i="16"/>
  <c r="S33" i="16"/>
  <c r="S35" i="16" s="1"/>
  <c r="S93" i="16"/>
  <c r="S16" i="16"/>
  <c r="V104" i="16"/>
  <c r="V7" i="16" s="1"/>
  <c r="V24" i="16"/>
  <c r="V25" i="16" s="1"/>
  <c r="V27" i="16" s="1"/>
  <c r="Q104" i="16"/>
  <c r="Q106" i="16" s="1"/>
  <c r="Q117" i="16" s="1"/>
  <c r="Q26" i="16"/>
  <c r="L7" i="16"/>
  <c r="L8" i="16"/>
  <c r="C103" i="16"/>
  <c r="C104" i="16" s="1"/>
  <c r="C38" i="16"/>
  <c r="C40" i="16" s="1"/>
  <c r="C36" i="16" s="1"/>
  <c r="C9" i="16" s="1"/>
  <c r="E21" i="1"/>
  <c r="G26" i="16"/>
  <c r="K104" i="16"/>
  <c r="Z21" i="17"/>
  <c r="X21" i="17"/>
  <c r="X26" i="17" s="1"/>
  <c r="K26" i="11"/>
  <c r="S40" i="16"/>
  <c r="W21" i="17"/>
  <c r="W26" i="17" s="1"/>
  <c r="W45" i="17" s="1"/>
  <c r="Y21" i="17"/>
  <c r="Y26" i="17" s="1"/>
  <c r="O16" i="16"/>
  <c r="K38" i="16"/>
  <c r="K40" i="16" s="1"/>
  <c r="K36" i="16" s="1"/>
  <c r="K9" i="16" s="1"/>
  <c r="W104" i="16"/>
  <c r="T104" i="16"/>
  <c r="T7" i="16" s="1"/>
  <c r="T24" i="16"/>
  <c r="T25" i="16" s="1"/>
  <c r="T27" i="16" s="1"/>
  <c r="I8" i="16"/>
  <c r="I7" i="16"/>
  <c r="G23" i="16"/>
  <c r="G25" i="16" s="1"/>
  <c r="L9" i="1"/>
  <c r="L53" i="6" s="1"/>
  <c r="L54" i="6" s="1"/>
  <c r="F21" i="16"/>
  <c r="F16" i="16"/>
  <c r="AA104" i="16"/>
  <c r="M7" i="16"/>
  <c r="M8" i="16"/>
  <c r="E8" i="16"/>
  <c r="U15" i="17"/>
  <c r="U18" i="17" s="1"/>
  <c r="U27" i="17" s="1"/>
  <c r="W29" i="16"/>
  <c r="AB21" i="16"/>
  <c r="AB16" i="16"/>
  <c r="AA16" i="16"/>
  <c r="W21" i="16"/>
  <c r="K16" i="16"/>
  <c r="U104" i="16"/>
  <c r="U24" i="16"/>
  <c r="U25" i="16" s="1"/>
  <c r="U27" i="16" s="1"/>
  <c r="P104" i="16"/>
  <c r="P8" i="16" s="1"/>
  <c r="P26" i="16"/>
  <c r="P27" i="16" s="1"/>
  <c r="K15" i="17"/>
  <c r="K18" i="17" s="1"/>
  <c r="K27" i="17" s="1"/>
  <c r="G15" i="17"/>
  <c r="G18" i="17" s="1"/>
  <c r="G27" i="17" s="1"/>
  <c r="V8" i="17"/>
  <c r="G11" i="11"/>
  <c r="G15" i="11" s="1"/>
  <c r="G18" i="11" s="1"/>
  <c r="G27" i="11" s="1"/>
  <c r="F15" i="11"/>
  <c r="F18" i="11" s="1"/>
  <c r="F27" i="11" s="1"/>
  <c r="F42" i="11" s="1"/>
  <c r="F45" i="11" s="1"/>
  <c r="Z110" i="17"/>
  <c r="R110" i="17"/>
  <c r="P11" i="17"/>
  <c r="P15" i="17" s="1"/>
  <c r="P18" i="17" s="1"/>
  <c r="P27" i="17" s="1"/>
  <c r="E15" i="11"/>
  <c r="E18" i="11" s="1"/>
  <c r="E27" i="11" s="1"/>
  <c r="E42" i="11" s="1"/>
  <c r="E45" i="11" s="1"/>
  <c r="F98" i="17"/>
  <c r="D15" i="11"/>
  <c r="D18" i="11" s="1"/>
  <c r="D27" i="11" s="1"/>
  <c r="AD98" i="17"/>
  <c r="U98" i="17"/>
  <c r="R8" i="17"/>
  <c r="R11" i="17" s="1"/>
  <c r="AF11" i="17"/>
  <c r="AF15" i="17" s="1"/>
  <c r="AF18" i="17" s="1"/>
  <c r="AF27" i="17" s="1"/>
  <c r="T98" i="17"/>
  <c r="BC37" i="12" l="1"/>
  <c r="K31" i="12"/>
  <c r="K38" i="12" s="1"/>
  <c r="K17" i="12"/>
  <c r="F31" i="12"/>
  <c r="F38" i="12" s="1"/>
  <c r="F17" i="12"/>
  <c r="AB37" i="12"/>
  <c r="AB38" i="12"/>
  <c r="L45" i="11"/>
  <c r="AD11" i="17"/>
  <c r="AD15" i="17" s="1"/>
  <c r="AD18" i="17" s="1"/>
  <c r="AD27" i="17" s="1"/>
  <c r="AD45" i="17" s="1"/>
  <c r="R98" i="17"/>
  <c r="N15" i="17"/>
  <c r="N18" i="17" s="1"/>
  <c r="N27" i="17" s="1"/>
  <c r="N42" i="17" s="1"/>
  <c r="N45" i="17" s="1"/>
  <c r="F8" i="16"/>
  <c r="F78" i="16"/>
  <c r="H8" i="16"/>
  <c r="V41" i="16"/>
  <c r="Y7" i="16"/>
  <c r="J8" i="16"/>
  <c r="X117" i="16"/>
  <c r="Q27" i="16"/>
  <c r="Q28" i="16" s="1"/>
  <c r="Q30" i="16" s="1"/>
  <c r="U7" i="16"/>
  <c r="D7" i="16"/>
  <c r="Y78" i="16"/>
  <c r="D78" i="16"/>
  <c r="O115" i="16"/>
  <c r="O32" i="16" s="1"/>
  <c r="C28" i="1"/>
  <c r="C30" i="1" s="1"/>
  <c r="E117" i="1"/>
  <c r="O76" i="16"/>
  <c r="O78" i="16" s="1"/>
  <c r="H8" i="1"/>
  <c r="J78" i="1"/>
  <c r="K28" i="1"/>
  <c r="K30" i="1" s="1"/>
  <c r="H7" i="1"/>
  <c r="J8" i="1"/>
  <c r="I65" i="13"/>
  <c r="AA61" i="13"/>
  <c r="AH46" i="13"/>
  <c r="AF31" i="13"/>
  <c r="AD28" i="13"/>
  <c r="AF39" i="13"/>
  <c r="AM34" i="13"/>
  <c r="Y38" i="13"/>
  <c r="AA65" i="13"/>
  <c r="AH65" i="13"/>
  <c r="AF63" i="13"/>
  <c r="AF61" i="13" s="1"/>
  <c r="M49" i="13"/>
  <c r="M52" i="13"/>
  <c r="AD22" i="13"/>
  <c r="M65" i="13"/>
  <c r="Y28" i="13"/>
  <c r="AP52" i="13"/>
  <c r="M55" i="13"/>
  <c r="AD38" i="13"/>
  <c r="Y63" i="13"/>
  <c r="Y52" i="13" s="1"/>
  <c r="AP58" i="13"/>
  <c r="M58" i="13"/>
  <c r="AD34" i="13"/>
  <c r="AP46" i="13"/>
  <c r="AP65" i="13"/>
  <c r="P66" i="13"/>
  <c r="P46" i="13"/>
  <c r="P55" i="13"/>
  <c r="P17" i="12"/>
  <c r="P7" i="15"/>
  <c r="P25" i="15" s="1"/>
  <c r="S37" i="12"/>
  <c r="T25" i="15"/>
  <c r="AU46" i="12"/>
  <c r="AU47" i="12" s="1"/>
  <c r="M42" i="17"/>
  <c r="M45" i="17" s="1"/>
  <c r="AM37" i="12"/>
  <c r="I17" i="12"/>
  <c r="C38" i="6"/>
  <c r="AJ12" i="12"/>
  <c r="AE45" i="17"/>
  <c r="J42" i="17"/>
  <c r="J45" i="17" s="1"/>
  <c r="Z26" i="17"/>
  <c r="Z45" i="17" s="1"/>
  <c r="K45" i="11"/>
  <c r="J45" i="11"/>
  <c r="R15" i="17"/>
  <c r="R18" i="17" s="1"/>
  <c r="R27" i="17" s="1"/>
  <c r="R42" i="17" s="1"/>
  <c r="R45" i="17" s="1"/>
  <c r="X28" i="16"/>
  <c r="X30" i="16" s="1"/>
  <c r="I78" i="16"/>
  <c r="Z28" i="16"/>
  <c r="Z30" i="16" s="1"/>
  <c r="C78" i="16"/>
  <c r="AC78" i="16"/>
  <c r="AA115" i="16"/>
  <c r="AA32" i="16" s="1"/>
  <c r="AA41" i="16" s="1"/>
  <c r="P41" i="16"/>
  <c r="K115" i="16"/>
  <c r="K32" i="16" s="1"/>
  <c r="K41" i="16" s="1"/>
  <c r="S106" i="16"/>
  <c r="D28" i="1"/>
  <c r="D30" i="1" s="1"/>
  <c r="Q36" i="16"/>
  <c r="W27" i="16"/>
  <c r="W28" i="16" s="1"/>
  <c r="W30" i="16" s="1"/>
  <c r="S27" i="16"/>
  <c r="S28" i="16" s="1"/>
  <c r="S30" i="16" s="1"/>
  <c r="AA76" i="16"/>
  <c r="AA7" i="16" s="1"/>
  <c r="C115" i="16"/>
  <c r="C32" i="16" s="1"/>
  <c r="C41" i="16" s="1"/>
  <c r="I28" i="1"/>
  <c r="I30" i="1" s="1"/>
  <c r="O104" i="16"/>
  <c r="S115" i="16"/>
  <c r="S32" i="16" s="1"/>
  <c r="C106" i="16"/>
  <c r="H28" i="1"/>
  <c r="H30" i="1" s="1"/>
  <c r="G106" i="16"/>
  <c r="S8" i="16"/>
  <c r="S7" i="16"/>
  <c r="G115" i="16"/>
  <c r="G32" i="16" s="1"/>
  <c r="G41" i="16" s="1"/>
  <c r="D15" i="1"/>
  <c r="W7" i="16"/>
  <c r="R36" i="16"/>
  <c r="J15" i="1"/>
  <c r="J28" i="1"/>
  <c r="J30" i="1" s="1"/>
  <c r="W115" i="16"/>
  <c r="W32" i="16" s="1"/>
  <c r="W41" i="16" s="1"/>
  <c r="K8" i="1"/>
  <c r="C27" i="16"/>
  <c r="C28" i="16" s="1"/>
  <c r="C30" i="16" s="1"/>
  <c r="K78" i="1"/>
  <c r="W78" i="16"/>
  <c r="R41" i="16"/>
  <c r="S78" i="16"/>
  <c r="J117" i="1"/>
  <c r="T45" i="17"/>
  <c r="AF45" i="17"/>
  <c r="X45" i="17"/>
  <c r="S113" i="17"/>
  <c r="X7" i="16"/>
  <c r="O27" i="16"/>
  <c r="O28" i="16" s="1"/>
  <c r="O30" i="16" s="1"/>
  <c r="N78" i="16"/>
  <c r="R78" i="16"/>
  <c r="AC117" i="16"/>
  <c r="Q8" i="16"/>
  <c r="AB8" i="16"/>
  <c r="I28" i="16"/>
  <c r="I30" i="16" s="1"/>
  <c r="AB78" i="16"/>
  <c r="K106" i="16"/>
  <c r="N8" i="16"/>
  <c r="M78" i="16"/>
  <c r="X78" i="16"/>
  <c r="L28" i="16"/>
  <c r="L30" i="16" s="1"/>
  <c r="Z117" i="16"/>
  <c r="Q78" i="16"/>
  <c r="U78" i="16"/>
  <c r="E40" i="9"/>
  <c r="E27" i="9"/>
  <c r="I61" i="13"/>
  <c r="E30" i="9"/>
  <c r="E36" i="9"/>
  <c r="I49" i="13"/>
  <c r="BC46" i="12"/>
  <c r="BC40" i="12"/>
  <c r="Y31" i="12"/>
  <c r="Y38" i="12" s="1"/>
  <c r="Y46" i="12" s="1"/>
  <c r="Y47" i="12" s="1"/>
  <c r="AC45" i="17"/>
  <c r="T28" i="16"/>
  <c r="T30" i="16" s="1"/>
  <c r="N117" i="16"/>
  <c r="H117" i="16"/>
  <c r="H78" i="16"/>
  <c r="T78" i="16"/>
  <c r="T41" i="16"/>
  <c r="E117" i="16"/>
  <c r="Q41" i="16"/>
  <c r="Y117" i="16"/>
  <c r="I117" i="16"/>
  <c r="R117" i="16"/>
  <c r="M28" i="16"/>
  <c r="M30" i="16" s="1"/>
  <c r="AC28" i="16"/>
  <c r="AC30" i="16" s="1"/>
  <c r="L78" i="16"/>
  <c r="G78" i="16"/>
  <c r="D28" i="16"/>
  <c r="D30" i="16" s="1"/>
  <c r="R8" i="16"/>
  <c r="J28" i="16"/>
  <c r="J30" i="16" s="1"/>
  <c r="AC8" i="16"/>
  <c r="Q7" i="16"/>
  <c r="M117" i="16"/>
  <c r="V28" i="16"/>
  <c r="V30" i="16" s="1"/>
  <c r="J78" i="16"/>
  <c r="R7" i="16"/>
  <c r="M38" i="12"/>
  <c r="M40" i="12" s="1"/>
  <c r="M37" i="12"/>
  <c r="D40" i="12"/>
  <c r="D46" i="12"/>
  <c r="D47" i="12" s="1"/>
  <c r="M25" i="12"/>
  <c r="H31" i="12"/>
  <c r="H38" i="12" s="1"/>
  <c r="M17" i="12"/>
  <c r="D17" i="12"/>
  <c r="M7" i="15"/>
  <c r="M25" i="15" s="1"/>
  <c r="D25" i="12"/>
  <c r="D7" i="15"/>
  <c r="D25" i="15" s="1"/>
  <c r="R25" i="15"/>
  <c r="L9" i="16"/>
  <c r="L36" i="16"/>
  <c r="W36" i="16"/>
  <c r="O41" i="16"/>
  <c r="L41" i="16"/>
  <c r="S41" i="16"/>
  <c r="O61" i="13"/>
  <c r="O66" i="13"/>
  <c r="O58" i="13"/>
  <c r="AF22" i="13"/>
  <c r="AI46" i="13"/>
  <c r="AI55" i="13"/>
  <c r="AI58" i="13"/>
  <c r="AI49" i="13"/>
  <c r="AI61" i="13"/>
  <c r="AI52" i="13"/>
  <c r="AI65" i="13"/>
  <c r="AI66" i="13"/>
  <c r="R25" i="13"/>
  <c r="R38" i="13"/>
  <c r="AW58" i="13"/>
  <c r="R28" i="13"/>
  <c r="AW52" i="13"/>
  <c r="AZ46" i="13"/>
  <c r="AZ49" i="13"/>
  <c r="AZ65" i="13"/>
  <c r="AZ61" i="13"/>
  <c r="AZ55" i="13"/>
  <c r="AZ66" i="13"/>
  <c r="R34" i="13"/>
  <c r="AW49" i="13"/>
  <c r="AF66" i="13"/>
  <c r="R31" i="13"/>
  <c r="Z46" i="13"/>
  <c r="Z55" i="13"/>
  <c r="Z66" i="13"/>
  <c r="Z65" i="13"/>
  <c r="Z58" i="13"/>
  <c r="Z61" i="13"/>
  <c r="Z52" i="13"/>
  <c r="Z49" i="13"/>
  <c r="R22" i="13"/>
  <c r="AW66" i="13"/>
  <c r="Y39" i="13"/>
  <c r="AW55" i="13"/>
  <c r="AW65" i="13"/>
  <c r="AW61" i="13"/>
  <c r="U113" i="17"/>
  <c r="V15" i="12"/>
  <c r="H21" i="12"/>
  <c r="G37" i="12"/>
  <c r="G38" i="12"/>
  <c r="H12" i="12"/>
  <c r="AH37" i="12"/>
  <c r="U37" i="12"/>
  <c r="U38" i="12"/>
  <c r="H15" i="12"/>
  <c r="Y17" i="12"/>
  <c r="Y25" i="12"/>
  <c r="Z37" i="12"/>
  <c r="Z38" i="12"/>
  <c r="I42" i="17"/>
  <c r="I45" i="17" s="1"/>
  <c r="L42" i="17"/>
  <c r="L45" i="17" s="1"/>
  <c r="Y45" i="17"/>
  <c r="H42" i="17"/>
  <c r="H45" i="17" s="1"/>
  <c r="P42" i="17"/>
  <c r="P45" i="17" s="1"/>
  <c r="AA17" i="12"/>
  <c r="T25" i="12"/>
  <c r="F25" i="15"/>
  <c r="K7" i="15"/>
  <c r="K25" i="15" s="1"/>
  <c r="AA7" i="15"/>
  <c r="AA25" i="15" s="1"/>
  <c r="AH38" i="12"/>
  <c r="AH46" i="12" s="1"/>
  <c r="AH47" i="12" s="1"/>
  <c r="T17" i="12"/>
  <c r="T31" i="12"/>
  <c r="V12" i="12"/>
  <c r="L38" i="12"/>
  <c r="L37" i="12"/>
  <c r="Q37" i="12"/>
  <c r="Q38" i="12"/>
  <c r="C40" i="12"/>
  <c r="C51" i="17" s="1"/>
  <c r="C54" i="17" s="1"/>
  <c r="C63" i="17" s="1"/>
  <c r="C75" i="17" s="1"/>
  <c r="C113" i="17" s="1"/>
  <c r="C118" i="17" s="1"/>
  <c r="C46" i="12"/>
  <c r="C47" i="12" s="1"/>
  <c r="BC47" i="12"/>
  <c r="P52" i="13"/>
  <c r="AA58" i="13"/>
  <c r="AH49" i="13"/>
  <c r="AD46" i="13"/>
  <c r="T31" i="13"/>
  <c r="P61" i="13"/>
  <c r="AA66" i="13"/>
  <c r="T22" i="13"/>
  <c r="T58" i="13"/>
  <c r="P49" i="13"/>
  <c r="AH55" i="13"/>
  <c r="T38" i="13"/>
  <c r="D58" i="13"/>
  <c r="T39" i="13"/>
  <c r="AD65" i="13"/>
  <c r="AC65" i="13"/>
  <c r="P36" i="13"/>
  <c r="P25" i="13" s="1"/>
  <c r="T25" i="13"/>
  <c r="T28" i="13"/>
  <c r="AC46" i="13"/>
  <c r="P58" i="13"/>
  <c r="T46" i="13"/>
  <c r="I55" i="13"/>
  <c r="I36" i="13"/>
  <c r="I66" i="13"/>
  <c r="I46" i="13"/>
  <c r="AC22" i="13"/>
  <c r="W55" i="13"/>
  <c r="E41" i="9"/>
  <c r="E24" i="9"/>
  <c r="BA28" i="13"/>
  <c r="BA63" i="13"/>
  <c r="AV25" i="13"/>
  <c r="AV34" i="13"/>
  <c r="AV28" i="13"/>
  <c r="BA34" i="13"/>
  <c r="AV22" i="13"/>
  <c r="AV39" i="13"/>
  <c r="O55" i="13"/>
  <c r="O52" i="13"/>
  <c r="O65" i="13"/>
  <c r="BA22" i="13"/>
  <c r="AF46" i="13"/>
  <c r="AF52" i="13"/>
  <c r="AF65" i="13"/>
  <c r="AF58" i="13"/>
  <c r="AV46" i="13"/>
  <c r="AV58" i="13"/>
  <c r="AV52" i="13"/>
  <c r="AV66" i="13"/>
  <c r="BA31" i="13"/>
  <c r="AA39" i="13"/>
  <c r="AV65" i="13"/>
  <c r="AS46" i="13"/>
  <c r="AS66" i="13"/>
  <c r="AS52" i="13"/>
  <c r="AS55" i="13"/>
  <c r="AS61" i="13"/>
  <c r="AS65" i="13"/>
  <c r="AS49" i="13"/>
  <c r="AS58" i="13"/>
  <c r="AV61" i="13"/>
  <c r="AV31" i="13"/>
  <c r="AN46" i="13"/>
  <c r="AN65" i="13"/>
  <c r="AN55" i="13"/>
  <c r="AN61" i="13"/>
  <c r="AN49" i="13"/>
  <c r="AN58" i="13"/>
  <c r="AN52" i="13"/>
  <c r="AN66" i="13"/>
  <c r="AA22" i="13"/>
  <c r="AV38" i="13"/>
  <c r="AC31" i="13"/>
  <c r="AV49" i="13"/>
  <c r="AF55" i="13"/>
  <c r="AF49" i="13"/>
  <c r="BA39" i="13"/>
  <c r="AV55" i="13"/>
  <c r="BA38" i="13"/>
  <c r="AD78" i="16"/>
  <c r="AD28" i="16"/>
  <c r="AD30" i="16" s="1"/>
  <c r="AD117" i="16"/>
  <c r="AD41" i="16"/>
  <c r="AD7" i="16"/>
  <c r="AD8" i="16"/>
  <c r="AD9" i="16"/>
  <c r="AD36" i="16"/>
  <c r="J117" i="16"/>
  <c r="Z8" i="16"/>
  <c r="D117" i="16"/>
  <c r="P28" i="16"/>
  <c r="P30" i="16" s="1"/>
  <c r="T8" i="16"/>
  <c r="Y15" i="16"/>
  <c r="Y28" i="16"/>
  <c r="Y30" i="16" s="1"/>
  <c r="P78" i="16"/>
  <c r="U28" i="16"/>
  <c r="U30" i="16" s="1"/>
  <c r="N28" i="16"/>
  <c r="N30" i="16" s="1"/>
  <c r="AC7" i="16"/>
  <c r="O106" i="16"/>
  <c r="AB117" i="16"/>
  <c r="R15" i="16"/>
  <c r="R28" i="16"/>
  <c r="R30" i="16" s="1"/>
  <c r="H28" i="16"/>
  <c r="H30" i="16" s="1"/>
  <c r="Z78" i="16"/>
  <c r="F117" i="16"/>
  <c r="AC7" i="15"/>
  <c r="AC25" i="15" s="1"/>
  <c r="AC25" i="12"/>
  <c r="AC17" i="12"/>
  <c r="AC31" i="12"/>
  <c r="AC38" i="12" s="1"/>
  <c r="G15" i="16"/>
  <c r="S15" i="16"/>
  <c r="I42" i="11"/>
  <c r="I45" i="11" s="1"/>
  <c r="V106" i="16"/>
  <c r="V117" i="16" s="1"/>
  <c r="P106" i="16"/>
  <c r="P117" i="16" s="1"/>
  <c r="V36" i="13"/>
  <c r="V38" i="13" s="1"/>
  <c r="D49" i="13"/>
  <c r="D61" i="13"/>
  <c r="D65" i="13"/>
  <c r="D66" i="13"/>
  <c r="L117" i="1"/>
  <c r="AD7" i="15"/>
  <c r="AD25" i="15" s="1"/>
  <c r="AD31" i="12"/>
  <c r="AD25" i="12"/>
  <c r="AD17" i="12"/>
  <c r="H55" i="13"/>
  <c r="I25" i="15"/>
  <c r="AK37" i="12"/>
  <c r="AK38" i="12"/>
  <c r="I46" i="6"/>
  <c r="I47" i="6" s="1"/>
  <c r="I40" i="6"/>
  <c r="I51" i="11" s="1"/>
  <c r="I54" i="11" s="1"/>
  <c r="I63" i="11" s="1"/>
  <c r="I75" i="11" s="1"/>
  <c r="I113" i="11" s="1"/>
  <c r="AM63" i="13"/>
  <c r="AM25" i="13"/>
  <c r="AM28" i="13"/>
  <c r="AM39" i="13"/>
  <c r="AS40" i="12"/>
  <c r="AA51" i="17" s="1"/>
  <c r="AA54" i="17" s="1"/>
  <c r="AA63" i="17" s="1"/>
  <c r="AA75" i="17" s="1"/>
  <c r="AA113" i="17" s="1"/>
  <c r="AS46" i="12"/>
  <c r="AS47" i="12" s="1"/>
  <c r="AC38" i="13"/>
  <c r="T55" i="13"/>
  <c r="T49" i="13"/>
  <c r="T66" i="13"/>
  <c r="T61" i="13"/>
  <c r="AY37" i="12"/>
  <c r="AY38" i="12"/>
  <c r="R55" i="13"/>
  <c r="R46" i="13"/>
  <c r="R52" i="13"/>
  <c r="R49" i="13"/>
  <c r="R61" i="13"/>
  <c r="R58" i="13"/>
  <c r="O15" i="16"/>
  <c r="U8" i="16"/>
  <c r="T106" i="16"/>
  <c r="T117" i="16" s="1"/>
  <c r="K42" i="17"/>
  <c r="K45" i="17" s="1"/>
  <c r="U106" i="16"/>
  <c r="U117" i="16" s="1"/>
  <c r="D117" i="1"/>
  <c r="R65" i="13"/>
  <c r="K36" i="13"/>
  <c r="L34" i="13"/>
  <c r="L39" i="13"/>
  <c r="L22" i="13"/>
  <c r="L25" i="13"/>
  <c r="L28" i="13"/>
  <c r="L38" i="13"/>
  <c r="M36" i="13"/>
  <c r="L31" i="13"/>
  <c r="AG46" i="12"/>
  <c r="AG47" i="12" s="1"/>
  <c r="AG40" i="12"/>
  <c r="K46" i="6"/>
  <c r="K47" i="6" s="1"/>
  <c r="K40" i="6"/>
  <c r="K51" i="11" s="1"/>
  <c r="K54" i="11" s="1"/>
  <c r="K63" i="11" s="1"/>
  <c r="K75" i="11" s="1"/>
  <c r="K113" i="11" s="1"/>
  <c r="K58" i="13"/>
  <c r="K46" i="13"/>
  <c r="K55" i="13"/>
  <c r="K61" i="13"/>
  <c r="K66" i="13"/>
  <c r="K49" i="13"/>
  <c r="N37" i="12"/>
  <c r="N38" i="12"/>
  <c r="AJ7" i="15"/>
  <c r="AJ25" i="15" s="1"/>
  <c r="AJ25" i="12"/>
  <c r="AJ31" i="12"/>
  <c r="AJ17" i="12"/>
  <c r="K40" i="12"/>
  <c r="K46" i="12"/>
  <c r="K47" i="12" s="1"/>
  <c r="V8" i="16"/>
  <c r="C7" i="1"/>
  <c r="C8" i="1"/>
  <c r="C78" i="1"/>
  <c r="U45" i="17"/>
  <c r="H32" i="1"/>
  <c r="H41" i="1" s="1"/>
  <c r="H117" i="1"/>
  <c r="I7" i="1"/>
  <c r="I8" i="1"/>
  <c r="I106" i="1"/>
  <c r="I117" i="1" s="1"/>
  <c r="AO38" i="13"/>
  <c r="AO22" i="13"/>
  <c r="AO31" i="13"/>
  <c r="AO63" i="13"/>
  <c r="AO25" i="13"/>
  <c r="AT46" i="12"/>
  <c r="AT47" i="12" s="1"/>
  <c r="AT40" i="12"/>
  <c r="AC58" i="13"/>
  <c r="AC55" i="13"/>
  <c r="P38" i="12"/>
  <c r="P37" i="12"/>
  <c r="E38" i="6"/>
  <c r="E37" i="6"/>
  <c r="AO38" i="12"/>
  <c r="AO37" i="12"/>
  <c r="AC66" i="13"/>
  <c r="AO39" i="13"/>
  <c r="W49" i="13"/>
  <c r="W61" i="13"/>
  <c r="W58" i="13"/>
  <c r="W65" i="13"/>
  <c r="W46" i="13"/>
  <c r="H25" i="12"/>
  <c r="F37" i="12"/>
  <c r="AV37" i="12"/>
  <c r="X38" i="12"/>
  <c r="X37" i="12"/>
  <c r="L37" i="6"/>
  <c r="L38" i="6"/>
  <c r="K15" i="16"/>
  <c r="K28" i="16"/>
  <c r="K30" i="16" s="1"/>
  <c r="W15" i="16"/>
  <c r="K7" i="16"/>
  <c r="K8" i="16"/>
  <c r="E15" i="1"/>
  <c r="E28" i="1"/>
  <c r="E30" i="1" s="1"/>
  <c r="P7" i="16"/>
  <c r="D42" i="11"/>
  <c r="D45" i="11" s="1"/>
  <c r="L7" i="1"/>
  <c r="L8" i="1"/>
  <c r="AT22" i="13"/>
  <c r="AT31" i="13"/>
  <c r="AT34" i="13"/>
  <c r="AT39" i="13"/>
  <c r="AT38" i="13"/>
  <c r="AT63" i="13"/>
  <c r="AT25" i="13"/>
  <c r="F46" i="13"/>
  <c r="BA37" i="12"/>
  <c r="BA38" i="12"/>
  <c r="AD58" i="13"/>
  <c r="AD61" i="13"/>
  <c r="AD66" i="13"/>
  <c r="AD55" i="13"/>
  <c r="AD49" i="13"/>
  <c r="AF46" i="12"/>
  <c r="AF47" i="12" s="1"/>
  <c r="AF40" i="12"/>
  <c r="F65" i="13"/>
  <c r="AJ9" i="12"/>
  <c r="AJ21" i="12"/>
  <c r="AJ15" i="12"/>
  <c r="C46" i="6"/>
  <c r="C47" i="6" s="1"/>
  <c r="C40" i="6"/>
  <c r="C51" i="11" s="1"/>
  <c r="C54" i="11" s="1"/>
  <c r="C63" i="11" s="1"/>
  <c r="C75" i="11" s="1"/>
  <c r="C113" i="11" s="1"/>
  <c r="C118" i="11" s="1"/>
  <c r="D115" i="11" s="1"/>
  <c r="AC61" i="13"/>
  <c r="AO34" i="13"/>
  <c r="V11" i="17"/>
  <c r="V15" i="17" s="1"/>
  <c r="V18" i="17" s="1"/>
  <c r="V27" i="17" s="1"/>
  <c r="V45" i="17" s="1"/>
  <c r="J51" i="17"/>
  <c r="J54" i="17" s="1"/>
  <c r="J63" i="17" s="1"/>
  <c r="J75" i="17" s="1"/>
  <c r="J113" i="17" s="1"/>
  <c r="G51" i="11"/>
  <c r="G54" i="11" s="1"/>
  <c r="G63" i="11" s="1"/>
  <c r="G75" i="11" s="1"/>
  <c r="G113" i="11" s="1"/>
  <c r="AC52" i="13"/>
  <c r="O9" i="16"/>
  <c r="O36" i="16"/>
  <c r="AA15" i="16"/>
  <c r="G27" i="16"/>
  <c r="G28" i="16" s="1"/>
  <c r="G30" i="16" s="1"/>
  <c r="W8" i="16"/>
  <c r="S9" i="16"/>
  <c r="S36" i="16"/>
  <c r="AA27" i="16"/>
  <c r="AA28" i="16" s="1"/>
  <c r="AA30" i="16" s="1"/>
  <c r="S45" i="17"/>
  <c r="G42" i="17"/>
  <c r="G45" i="17" s="1"/>
  <c r="Y65" i="13"/>
  <c r="Y61" i="13"/>
  <c r="Y66" i="13"/>
  <c r="H40" i="6"/>
  <c r="H51" i="11" s="1"/>
  <c r="H54" i="11" s="1"/>
  <c r="H63" i="11" s="1"/>
  <c r="H75" i="11" s="1"/>
  <c r="H113" i="11" s="1"/>
  <c r="H46" i="6"/>
  <c r="H47" i="6" s="1"/>
  <c r="R66" i="13"/>
  <c r="C27" i="9"/>
  <c r="C40" i="9"/>
  <c r="C24" i="9"/>
  <c r="C30" i="9"/>
  <c r="C41" i="9"/>
  <c r="C33" i="9"/>
  <c r="C36" i="9"/>
  <c r="O25" i="12"/>
  <c r="O7" i="15"/>
  <c r="O25" i="15" s="1"/>
  <c r="O17" i="12"/>
  <c r="O31" i="12"/>
  <c r="W25" i="12"/>
  <c r="W17" i="12"/>
  <c r="W31" i="12"/>
  <c r="W7" i="15"/>
  <c r="W25" i="15" s="1"/>
  <c r="M46" i="12"/>
  <c r="M47" i="12" s="1"/>
  <c r="H17" i="12"/>
  <c r="AF37" i="12"/>
  <c r="AA38" i="12"/>
  <c r="AA37" i="12"/>
  <c r="G7" i="16"/>
  <c r="G8" i="16"/>
  <c r="AB45" i="17"/>
  <c r="C7" i="16"/>
  <c r="G42" i="11"/>
  <c r="G45" i="11" s="1"/>
  <c r="H61" i="13"/>
  <c r="H46" i="13"/>
  <c r="H65" i="13"/>
  <c r="H58" i="13"/>
  <c r="AC34" i="13"/>
  <c r="AC39" i="13"/>
  <c r="AC25" i="13"/>
  <c r="H66" i="13"/>
  <c r="AV46" i="12"/>
  <c r="AV47" i="12" s="1"/>
  <c r="AV40" i="12"/>
  <c r="D46" i="13"/>
  <c r="I38" i="12"/>
  <c r="I37" i="12"/>
  <c r="AZ40" i="12"/>
  <c r="AE51" i="17" s="1"/>
  <c r="AE54" i="17" s="1"/>
  <c r="AE63" i="17" s="1"/>
  <c r="AE75" i="17" s="1"/>
  <c r="AE113" i="17" s="1"/>
  <c r="AZ46" i="12"/>
  <c r="AZ47" i="12" s="1"/>
  <c r="R38" i="12"/>
  <c r="R37" i="12"/>
  <c r="F38" i="6"/>
  <c r="F37" i="6"/>
  <c r="E31" i="13"/>
  <c r="D36" i="13"/>
  <c r="E34" i="13"/>
  <c r="E39" i="13"/>
  <c r="E22" i="13"/>
  <c r="E25" i="13"/>
  <c r="F36" i="13"/>
  <c r="E28" i="13"/>
  <c r="E38" i="13"/>
  <c r="F46" i="12"/>
  <c r="F47" i="12" s="1"/>
  <c r="F40" i="12"/>
  <c r="H25" i="15"/>
  <c r="AT37" i="12"/>
  <c r="AB15" i="16"/>
  <c r="AB28" i="16"/>
  <c r="AB30" i="16" s="1"/>
  <c r="W28" i="13"/>
  <c r="W31" i="13"/>
  <c r="W34" i="13"/>
  <c r="W39" i="13"/>
  <c r="W25" i="13"/>
  <c r="F15" i="16"/>
  <c r="F28" i="16"/>
  <c r="F30" i="16" s="1"/>
  <c r="W106" i="16"/>
  <c r="AA45" i="17"/>
  <c r="O42" i="17"/>
  <c r="O45" i="17" s="1"/>
  <c r="C8" i="16"/>
  <c r="K78" i="16"/>
  <c r="AA106" i="16"/>
  <c r="W38" i="13"/>
  <c r="F49" i="13"/>
  <c r="F61" i="13"/>
  <c r="F58" i="13"/>
  <c r="F52" i="13"/>
  <c r="F55" i="13"/>
  <c r="AA25" i="13"/>
  <c r="AA28" i="13"/>
  <c r="AA38" i="13"/>
  <c r="AA31" i="13"/>
  <c r="H49" i="13"/>
  <c r="AO28" i="13"/>
  <c r="AR37" i="12"/>
  <c r="AR38" i="12"/>
  <c r="D40" i="6"/>
  <c r="D51" i="11" s="1"/>
  <c r="D54" i="11" s="1"/>
  <c r="D63" i="11" s="1"/>
  <c r="D75" i="11" s="1"/>
  <c r="D113" i="11" s="1"/>
  <c r="D46" i="6"/>
  <c r="D47" i="6" s="1"/>
  <c r="AM38" i="13"/>
  <c r="D55" i="13"/>
  <c r="L78" i="1"/>
  <c r="K52" i="13"/>
  <c r="T65" i="13"/>
  <c r="V21" i="12"/>
  <c r="V24" i="12"/>
  <c r="AQ7" i="15"/>
  <c r="AQ25" i="15" s="1"/>
  <c r="AQ17" i="12"/>
  <c r="AQ31" i="12"/>
  <c r="AQ25" i="12"/>
  <c r="V63" i="13"/>
  <c r="V55" i="13" s="1"/>
  <c r="AX38" i="12"/>
  <c r="AX37" i="12"/>
  <c r="AM46" i="12"/>
  <c r="AM47" i="12" s="1"/>
  <c r="AM40" i="12"/>
  <c r="AB40" i="12" l="1"/>
  <c r="Q51" i="17" s="1"/>
  <c r="Q54" i="17" s="1"/>
  <c r="Q63" i="17" s="1"/>
  <c r="Q75" i="17" s="1"/>
  <c r="Q113" i="17" s="1"/>
  <c r="AB46" i="12"/>
  <c r="AB47" i="12" s="1"/>
  <c r="O8" i="16"/>
  <c r="O7" i="16"/>
  <c r="O117" i="16"/>
  <c r="S117" i="16"/>
  <c r="Y49" i="13"/>
  <c r="Y55" i="13"/>
  <c r="Y46" i="13"/>
  <c r="Y58" i="13"/>
  <c r="P39" i="13"/>
  <c r="Y40" i="12"/>
  <c r="Y37" i="12"/>
  <c r="AC37" i="12"/>
  <c r="AA117" i="16"/>
  <c r="K117" i="16"/>
  <c r="C117" i="16"/>
  <c r="W117" i="16"/>
  <c r="AA78" i="16"/>
  <c r="AA8" i="16"/>
  <c r="G117" i="16"/>
  <c r="P22" i="13"/>
  <c r="P34" i="13"/>
  <c r="P38" i="13"/>
  <c r="P31" i="13"/>
  <c r="P28" i="13"/>
  <c r="O36" i="13"/>
  <c r="O22" i="13" s="1"/>
  <c r="AH40" i="12"/>
  <c r="V22" i="13"/>
  <c r="Z40" i="12"/>
  <c r="P51" i="17" s="1"/>
  <c r="P54" i="17" s="1"/>
  <c r="P63" i="17" s="1"/>
  <c r="P75" i="17" s="1"/>
  <c r="P113" i="17" s="1"/>
  <c r="Z46" i="12"/>
  <c r="Z47" i="12" s="1"/>
  <c r="U40" i="12"/>
  <c r="M51" i="17" s="1"/>
  <c r="M54" i="17" s="1"/>
  <c r="M63" i="17" s="1"/>
  <c r="M75" i="17" s="1"/>
  <c r="M113" i="17" s="1"/>
  <c r="U46" i="12"/>
  <c r="U47" i="12" s="1"/>
  <c r="G46" i="12"/>
  <c r="G47" i="12" s="1"/>
  <c r="G40" i="12"/>
  <c r="E51" i="17" s="1"/>
  <c r="E54" i="17" s="1"/>
  <c r="E63" i="17" s="1"/>
  <c r="E75" i="17" s="1"/>
  <c r="E113" i="17" s="1"/>
  <c r="E118" i="17" s="1"/>
  <c r="Q40" i="12"/>
  <c r="K51" i="17" s="1"/>
  <c r="K54" i="17" s="1"/>
  <c r="K63" i="17" s="1"/>
  <c r="K75" i="17" s="1"/>
  <c r="K113" i="17" s="1"/>
  <c r="Q46" i="12"/>
  <c r="Q47" i="12" s="1"/>
  <c r="L40" i="12"/>
  <c r="H51" i="17" s="1"/>
  <c r="H54" i="17" s="1"/>
  <c r="H63" i="17" s="1"/>
  <c r="H75" i="17" s="1"/>
  <c r="H113" i="17" s="1"/>
  <c r="H118" i="17" s="1"/>
  <c r="L46" i="12"/>
  <c r="L47" i="12" s="1"/>
  <c r="T38" i="12"/>
  <c r="T37" i="12"/>
  <c r="I39" i="13"/>
  <c r="H36" i="13"/>
  <c r="I28" i="13"/>
  <c r="I38" i="13"/>
  <c r="I22" i="13"/>
  <c r="I31" i="13"/>
  <c r="I34" i="13"/>
  <c r="I25" i="13"/>
  <c r="BA55" i="13"/>
  <c r="BA46" i="13"/>
  <c r="BA66" i="13"/>
  <c r="BA58" i="13"/>
  <c r="BA49" i="13"/>
  <c r="BA65" i="13"/>
  <c r="BA52" i="13"/>
  <c r="BA61" i="13"/>
  <c r="W38" i="12"/>
  <c r="W37" i="12"/>
  <c r="AR40" i="12"/>
  <c r="Z51" i="17" s="1"/>
  <c r="Z54" i="17" s="1"/>
  <c r="Z63" i="17" s="1"/>
  <c r="Z75" i="17" s="1"/>
  <c r="Z113" i="17" s="1"/>
  <c r="AR46" i="12"/>
  <c r="AR47" i="12" s="1"/>
  <c r="V49" i="13"/>
  <c r="V61" i="13"/>
  <c r="V58" i="13"/>
  <c r="V52" i="13"/>
  <c r="V65" i="13"/>
  <c r="V46" i="13"/>
  <c r="V66" i="13"/>
  <c r="AO46" i="12"/>
  <c r="AO47" i="12" s="1"/>
  <c r="AO40" i="12"/>
  <c r="P46" i="12"/>
  <c r="P47" i="12" s="1"/>
  <c r="P40" i="12"/>
  <c r="N46" i="12"/>
  <c r="N47" i="12" s="1"/>
  <c r="N40" i="12"/>
  <c r="I51" i="17" s="1"/>
  <c r="I54" i="17" s="1"/>
  <c r="I63" i="17" s="1"/>
  <c r="I75" i="17" s="1"/>
  <c r="I113" i="17" s="1"/>
  <c r="F31" i="13"/>
  <c r="F34" i="13"/>
  <c r="F25" i="13"/>
  <c r="F22" i="13"/>
  <c r="F39" i="13"/>
  <c r="F28" i="13"/>
  <c r="F38" i="13"/>
  <c r="F40" i="6"/>
  <c r="F51" i="11" s="1"/>
  <c r="F54" i="11" s="1"/>
  <c r="F63" i="11" s="1"/>
  <c r="F75" i="11" s="1"/>
  <c r="F113" i="11" s="1"/>
  <c r="F118" i="11" s="1"/>
  <c r="G115" i="11" s="1"/>
  <c r="J115" i="17" s="1"/>
  <c r="J118" i="17" s="1"/>
  <c r="F46" i="6"/>
  <c r="F47" i="6" s="1"/>
  <c r="I46" i="12"/>
  <c r="I47" i="12" s="1"/>
  <c r="I40" i="12"/>
  <c r="F51" i="17" s="1"/>
  <c r="F54" i="17" s="1"/>
  <c r="F63" i="17" s="1"/>
  <c r="F75" i="17" s="1"/>
  <c r="F113" i="17" s="1"/>
  <c r="F118" i="17" s="1"/>
  <c r="O38" i="12"/>
  <c r="O37" i="12"/>
  <c r="BA46" i="12"/>
  <c r="BA47" i="12" s="1"/>
  <c r="BA40" i="12"/>
  <c r="L40" i="6"/>
  <c r="L51" i="11" s="1"/>
  <c r="L54" i="11" s="1"/>
  <c r="L63" i="11" s="1"/>
  <c r="L75" i="11" s="1"/>
  <c r="L113" i="11" s="1"/>
  <c r="L46" i="6"/>
  <c r="L47" i="6" s="1"/>
  <c r="T51" i="17"/>
  <c r="T54" i="17" s="1"/>
  <c r="T63" i="17" s="1"/>
  <c r="T75" i="17" s="1"/>
  <c r="T113" i="17" s="1"/>
  <c r="AG48" i="12"/>
  <c r="O39" i="13"/>
  <c r="O38" i="13"/>
  <c r="AQ37" i="12"/>
  <c r="AQ38" i="12"/>
  <c r="E40" i="6"/>
  <c r="E51" i="11" s="1"/>
  <c r="E54" i="11" s="1"/>
  <c r="E63" i="11" s="1"/>
  <c r="E75" i="11" s="1"/>
  <c r="E113" i="11" s="1"/>
  <c r="E118" i="11" s="1"/>
  <c r="E46" i="6"/>
  <c r="E47" i="6" s="1"/>
  <c r="AO46" i="13"/>
  <c r="AO52" i="13"/>
  <c r="AO65" i="13"/>
  <c r="AO49" i="13"/>
  <c r="AO58" i="13"/>
  <c r="AO61" i="13"/>
  <c r="AO55" i="13"/>
  <c r="AO66" i="13"/>
  <c r="AM61" i="13"/>
  <c r="AM49" i="13"/>
  <c r="AM65" i="13"/>
  <c r="AM58" i="13"/>
  <c r="AM52" i="13"/>
  <c r="AM66" i="13"/>
  <c r="AM55" i="13"/>
  <c r="AM46" i="13"/>
  <c r="AJ38" i="12"/>
  <c r="AJ37" i="12"/>
  <c r="M25" i="13"/>
  <c r="M28" i="13"/>
  <c r="M38" i="13"/>
  <c r="M22" i="13"/>
  <c r="M31" i="13"/>
  <c r="M39" i="13"/>
  <c r="M34" i="13"/>
  <c r="R40" i="12"/>
  <c r="R46" i="12"/>
  <c r="R47" i="12" s="1"/>
  <c r="K22" i="13"/>
  <c r="K28" i="13"/>
  <c r="K31" i="13"/>
  <c r="K25" i="13"/>
  <c r="K39" i="13"/>
  <c r="K38" i="13"/>
  <c r="K34" i="13"/>
  <c r="AC40" i="12"/>
  <c r="AC46" i="12"/>
  <c r="AC47" i="12" s="1"/>
  <c r="X46" i="12"/>
  <c r="X47" i="12" s="1"/>
  <c r="X40" i="12"/>
  <c r="O51" i="17" s="1"/>
  <c r="O54" i="17" s="1"/>
  <c r="O63" i="17" s="1"/>
  <c r="O75" i="17" s="1"/>
  <c r="O113" i="17" s="1"/>
  <c r="AD37" i="12"/>
  <c r="AD38" i="12"/>
  <c r="V7" i="15"/>
  <c r="V25" i="15" s="1"/>
  <c r="V31" i="12"/>
  <c r="V25" i="12"/>
  <c r="V17" i="12"/>
  <c r="AA40" i="12"/>
  <c r="AA46" i="12"/>
  <c r="AA47" i="12" s="1"/>
  <c r="H46" i="12"/>
  <c r="H47" i="12" s="1"/>
  <c r="H40" i="12"/>
  <c r="AT46" i="13"/>
  <c r="AT49" i="13"/>
  <c r="AT65" i="13"/>
  <c r="AT55" i="13"/>
  <c r="AT61" i="13"/>
  <c r="AT52" i="13"/>
  <c r="AT58" i="13"/>
  <c r="AT66" i="13"/>
  <c r="AY40" i="12"/>
  <c r="AD51" i="17" s="1"/>
  <c r="AD54" i="17" s="1"/>
  <c r="AD63" i="17" s="1"/>
  <c r="AD75" i="17" s="1"/>
  <c r="AD113" i="17" s="1"/>
  <c r="AY46" i="12"/>
  <c r="AY47" i="12" s="1"/>
  <c r="AK46" i="12"/>
  <c r="AK47" i="12" s="1"/>
  <c r="AK40" i="12"/>
  <c r="V51" i="17" s="1"/>
  <c r="V54" i="17" s="1"/>
  <c r="V63" i="17" s="1"/>
  <c r="V75" i="17" s="1"/>
  <c r="V113" i="17" s="1"/>
  <c r="V34" i="13"/>
  <c r="V39" i="13"/>
  <c r="V28" i="13"/>
  <c r="V25" i="13"/>
  <c r="V31" i="13"/>
  <c r="AX40" i="12"/>
  <c r="AX46" i="12"/>
  <c r="AX47" i="12" s="1"/>
  <c r="D118" i="11"/>
  <c r="D25" i="13"/>
  <c r="D31" i="13"/>
  <c r="D22" i="13"/>
  <c r="D38" i="13"/>
  <c r="D39" i="13"/>
  <c r="D34" i="13"/>
  <c r="D28" i="13"/>
  <c r="G118" i="11" l="1"/>
  <c r="H115" i="11" s="1"/>
  <c r="N115" i="17" s="1"/>
  <c r="O34" i="13"/>
  <c r="O25" i="13"/>
  <c r="O28" i="13"/>
  <c r="O31" i="13"/>
  <c r="T40" i="12"/>
  <c r="T46" i="12"/>
  <c r="T47" i="12" s="1"/>
  <c r="H28" i="13"/>
  <c r="H31" i="13"/>
  <c r="H34" i="13"/>
  <c r="H39" i="13"/>
  <c r="H38" i="13"/>
  <c r="H25" i="13"/>
  <c r="H22" i="13"/>
  <c r="AQ40" i="12"/>
  <c r="AQ46" i="12"/>
  <c r="AQ47" i="12" s="1"/>
  <c r="O46" i="12"/>
  <c r="O47" i="12" s="1"/>
  <c r="O40" i="12"/>
  <c r="V38" i="12"/>
  <c r="V37" i="12"/>
  <c r="G115" i="17"/>
  <c r="G118" i="17" s="1"/>
  <c r="I115" i="17"/>
  <c r="I118" i="17" s="1"/>
  <c r="AD46" i="12"/>
  <c r="AD47" i="12" s="1"/>
  <c r="AD40" i="12"/>
  <c r="R51" i="17" s="1"/>
  <c r="R54" i="17" s="1"/>
  <c r="R63" i="17" s="1"/>
  <c r="R75" i="17" s="1"/>
  <c r="R113" i="17" s="1"/>
  <c r="AJ40" i="12"/>
  <c r="AJ46" i="12"/>
  <c r="AJ47" i="12" s="1"/>
  <c r="K115" i="17"/>
  <c r="K118" i="17" s="1"/>
  <c r="L115" i="17"/>
  <c r="L118" i="17" s="1"/>
  <c r="M115" i="17"/>
  <c r="M118" i="17" s="1"/>
  <c r="W46" i="12"/>
  <c r="W47" i="12" s="1"/>
  <c r="W40" i="12"/>
  <c r="N51" i="17" s="1"/>
  <c r="N54" i="17" s="1"/>
  <c r="N63" i="17" s="1"/>
  <c r="N75" i="17" s="1"/>
  <c r="N113" i="17" s="1"/>
  <c r="N118" i="17" s="1"/>
  <c r="H118" i="11" l="1"/>
  <c r="I115" i="11" s="1"/>
  <c r="R115" i="17" s="1"/>
  <c r="R118" i="17" s="1"/>
  <c r="V46" i="12"/>
  <c r="V47" i="12" s="1"/>
  <c r="V40" i="12"/>
  <c r="O115" i="17"/>
  <c r="O118" i="17" s="1"/>
  <c r="P115" i="17"/>
  <c r="P118" i="17" s="1"/>
  <c r="Q115" i="17"/>
  <c r="Q118" i="17" s="1"/>
  <c r="I118" i="11" l="1"/>
  <c r="J115" i="11" s="1"/>
  <c r="V115" i="17" s="1"/>
  <c r="V118" i="17" s="1"/>
  <c r="T115" i="17"/>
  <c r="T118" i="17" s="1"/>
  <c r="U115" i="17"/>
  <c r="U118" i="17" s="1"/>
  <c r="S115" i="17"/>
  <c r="S118" i="17" s="1"/>
  <c r="J118" i="11" l="1"/>
  <c r="K115" i="11" s="1"/>
  <c r="Z115" i="17" s="1"/>
  <c r="Z118" i="17" s="1"/>
  <c r="K118" i="11"/>
  <c r="L115" i="11" s="1"/>
  <c r="Y115" i="17"/>
  <c r="Y118" i="17" s="1"/>
  <c r="W115" i="17"/>
  <c r="W118" i="17" s="1"/>
  <c r="X115" i="17"/>
  <c r="X118" i="17" s="1"/>
  <c r="AD115" i="17" l="1"/>
  <c r="AD118" i="17" s="1"/>
  <c r="AG115" i="17" s="1"/>
  <c r="AG118" i="17" s="1"/>
  <c r="L118" i="11"/>
  <c r="AA115" i="17"/>
  <c r="AA118" i="17" s="1"/>
  <c r="AB115" i="17"/>
  <c r="AB118" i="17" s="1"/>
  <c r="AC115" i="17"/>
  <c r="AC118" i="17" s="1"/>
  <c r="AE115" i="17" l="1"/>
  <c r="AE118" i="17" s="1"/>
  <c r="AF115" i="17"/>
  <c r="AF118"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27" authorId="0" shapeId="0" xr:uid="{00000000-0006-0000-0100-000001000000}">
      <text>
        <r>
          <rPr>
            <sz val="10"/>
            <color indexed="81"/>
            <rFont val="Arial"/>
            <family val="2"/>
          </rPr>
          <t>o/w income of +71.0 due to the recognition of tax credits in Brazil, net of the associated legal expenses</t>
        </r>
      </text>
    </comment>
    <comment ref="J27" authorId="0" shapeId="0" xr:uid="{00000000-0006-0000-0100-000002000000}">
      <text>
        <r>
          <rPr>
            <sz val="10"/>
            <color indexed="81"/>
            <rFont val="Arial"/>
            <family val="2"/>
          </rPr>
          <t xml:space="preserve">o/w -59.8 of direct operating costs linked to the COVID-19 </t>
        </r>
      </text>
    </comment>
    <comment ref="K27" authorId="0" shapeId="0" xr:uid="{00000000-0006-0000-0100-000003000000}">
      <text>
        <r>
          <rPr>
            <sz val="10"/>
            <color indexed="81"/>
            <rFont val="Arial"/>
            <family val="2"/>
          </rPr>
          <t xml:space="preserve">o/w -18.9 of direct operating costs linked to the COVID-19 </t>
        </r>
      </text>
    </comment>
    <comment ref="I35" authorId="0" shapeId="0" xr:uid="{00000000-0006-0000-0100-000004000000}">
      <text>
        <r>
          <rPr>
            <sz val="10"/>
            <color indexed="81"/>
            <rFont val="Arial"/>
            <family val="2"/>
          </rPr>
          <t>o/w +107.3 of financial income deriving from Brazilian tax credits</t>
        </r>
      </text>
    </comment>
    <comment ref="I36" authorId="0" shapeId="0" xr:uid="{00000000-0006-0000-0100-000005000000}">
      <text>
        <r>
          <rPr>
            <sz val="10"/>
            <color indexed="81"/>
            <rFont val="Arial"/>
            <family val="2"/>
          </rPr>
          <t>o/w -34.5 of Brazilian tax credits impact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Y27" authorId="0" shapeId="0" xr:uid="{00000000-0006-0000-0200-000001000000}">
      <text>
        <r>
          <rPr>
            <sz val="10"/>
            <color indexed="81"/>
            <rFont val="Arial"/>
            <family val="2"/>
          </rPr>
          <t>o/w income of +71.8 due to the recognition of tax credits in Brazil, net of the associated legal expenses</t>
        </r>
      </text>
    </comment>
    <comment ref="Z27" authorId="0" shapeId="0" xr:uid="{00000000-0006-0000-0200-000002000000}">
      <text>
        <r>
          <rPr>
            <sz val="10"/>
            <color indexed="81"/>
            <rFont val="Arial"/>
            <family val="2"/>
          </rPr>
          <t>o/w income of +71.8 due to the recognition of tax credits in Brazil, net of the associated legal expenses</t>
        </r>
      </text>
    </comment>
    <comment ref="AA27" authorId="0" shapeId="0" xr:uid="{00000000-0006-0000-0200-000003000000}">
      <text>
        <r>
          <rPr>
            <sz val="10"/>
            <color indexed="81"/>
            <rFont val="Arial"/>
            <family val="2"/>
          </rPr>
          <t>o/w income of +71.8 due to the recognition of tax credits in Brazil, net of the associated legal expenses</t>
        </r>
      </text>
    </comment>
    <comment ref="AB27" authorId="0" shapeId="0" xr:uid="{00000000-0006-0000-0200-000004000000}">
      <text>
        <r>
          <rPr>
            <sz val="10"/>
            <color indexed="81"/>
            <rFont val="Arial"/>
            <family val="2"/>
          </rPr>
          <t>o/w income of +71.8 due to the recognition of tax credits in Brazil, net of the associated legal expenses</t>
        </r>
      </text>
    </comment>
    <comment ref="AC27" authorId="0" shapeId="0" xr:uid="{00000000-0006-0000-0200-000005000000}">
      <text>
        <r>
          <rPr>
            <sz val="10"/>
            <color indexed="81"/>
            <rFont val="Arial"/>
            <family val="2"/>
          </rPr>
          <t>o/w income of -0.8 due to the recognition of tax credits in Brazil, net of the associated legal expenses</t>
        </r>
      </text>
    </comment>
    <comment ref="AD27" authorId="0" shapeId="0" xr:uid="{00000000-0006-0000-0200-000006000000}">
      <text>
        <r>
          <rPr>
            <sz val="10"/>
            <color indexed="81"/>
            <rFont val="Arial"/>
            <family val="2"/>
          </rPr>
          <t>o/w income of +71.0 due to the recognition of tax credits in Brazil, net of the associated legal expenses</t>
        </r>
      </text>
    </comment>
    <comment ref="AE27" authorId="0" shapeId="0" xr:uid="{00000000-0006-0000-0200-000007000000}">
      <text>
        <r>
          <rPr>
            <sz val="10"/>
            <color indexed="81"/>
            <rFont val="Arial"/>
            <family val="2"/>
          </rPr>
          <t xml:space="preserve">o/w -5.4 of direct operating costs linked to the COVID-19 </t>
        </r>
      </text>
    </comment>
    <comment ref="AF27" authorId="0" shapeId="0" xr:uid="{00000000-0006-0000-0200-000008000000}">
      <text>
        <r>
          <rPr>
            <sz val="10"/>
            <color indexed="81"/>
            <rFont val="Arial"/>
            <family val="2"/>
            <scheme val="major"/>
          </rPr>
          <t xml:space="preserve">o/w -21.0 of direct operating costs linked to the COVID-19 </t>
        </r>
      </text>
    </comment>
    <comment ref="AG27" authorId="0" shapeId="0" xr:uid="{00000000-0006-0000-0200-000009000000}">
      <text>
        <r>
          <rPr>
            <sz val="10"/>
            <color indexed="81"/>
            <rFont val="Arial"/>
            <family val="2"/>
          </rPr>
          <t xml:space="preserve">o/w -26.4 of direct operating costs linked to the COVID-19 </t>
        </r>
      </text>
    </comment>
    <comment ref="AH27" authorId="0" shapeId="0" xr:uid="{00000000-0006-0000-0200-00000A000000}">
      <text>
        <r>
          <rPr>
            <sz val="10"/>
            <color indexed="81"/>
            <rFont val="Arial"/>
            <family val="2"/>
            <scheme val="major"/>
          </rPr>
          <t xml:space="preserve">o/w -6.1 of direct operating costs linked to the COVID-19 </t>
        </r>
      </text>
    </comment>
    <comment ref="AI27" authorId="0" shapeId="0" xr:uid="{00000000-0006-0000-0200-00000B000000}">
      <text>
        <r>
          <rPr>
            <sz val="10"/>
            <color indexed="81"/>
            <rFont val="Arial"/>
            <family val="2"/>
          </rPr>
          <t xml:space="preserve">o/w -32.6 of direct operating costs linked to the COVID-19 </t>
        </r>
      </text>
    </comment>
    <comment ref="AJ27" authorId="0" shapeId="0" xr:uid="{00000000-0006-0000-0200-00000C000000}">
      <text>
        <r>
          <rPr>
            <sz val="10"/>
            <color indexed="81"/>
            <rFont val="Arial"/>
            <family val="2"/>
            <scheme val="major"/>
          </rPr>
          <t xml:space="preserve">o/w -27.6 of direct operating costs linked to the COVID-19 </t>
        </r>
      </text>
    </comment>
    <comment ref="AK27" authorId="0" shapeId="0" xr:uid="{00000000-0006-0000-0200-00000D000000}">
      <text>
        <r>
          <rPr>
            <sz val="10"/>
            <color indexed="81"/>
            <rFont val="Arial"/>
            <family val="2"/>
            <scheme val="major"/>
          </rPr>
          <t xml:space="preserve">o/w -59.8 of direct operating costs linked to the COVID-19 </t>
        </r>
      </text>
    </comment>
    <comment ref="AL27" authorId="0" shapeId="0" xr:uid="{00000000-0006-0000-0200-00000E000000}">
      <text>
        <r>
          <rPr>
            <sz val="10"/>
            <color indexed="81"/>
            <rFont val="Arial"/>
            <family val="2"/>
          </rPr>
          <t xml:space="preserve">o/w -3.6 of direct operating costs linked to the COVID-19 </t>
        </r>
      </text>
    </comment>
    <comment ref="AM27" authorId="0" shapeId="0" xr:uid="{00000000-0006-0000-0200-00000F000000}">
      <text>
        <r>
          <rPr>
            <sz val="10"/>
            <color indexed="81"/>
            <rFont val="Arial"/>
            <family val="2"/>
            <scheme val="major"/>
          </rPr>
          <t xml:space="preserve">o/w -5.1 of direct operating costs linked to the COVID-19 </t>
        </r>
      </text>
    </comment>
    <comment ref="AN27" authorId="0" shapeId="0" xr:uid="{00000000-0006-0000-0200-000010000000}">
      <text>
        <r>
          <rPr>
            <sz val="10"/>
            <color indexed="81"/>
            <rFont val="Arial"/>
            <family val="2"/>
          </rPr>
          <t xml:space="preserve">o/w -8.7 of direct operating costs linked to the COVID-19 </t>
        </r>
      </text>
    </comment>
    <comment ref="AO27" authorId="0" shapeId="0" xr:uid="{00000000-0006-0000-0200-000011000000}">
      <text>
        <r>
          <rPr>
            <sz val="10"/>
            <color indexed="81"/>
            <rFont val="Arial"/>
            <family val="2"/>
            <scheme val="major"/>
          </rPr>
          <t xml:space="preserve">o/w -4.6 of direct operating costs linked to the COVID-19 </t>
        </r>
      </text>
    </comment>
    <comment ref="AP27" authorId="0" shapeId="0" xr:uid="{00000000-0006-0000-0200-000012000000}">
      <text>
        <r>
          <rPr>
            <sz val="10"/>
            <color indexed="81"/>
            <rFont val="Arial"/>
            <family val="2"/>
          </rPr>
          <t xml:space="preserve">o/w -13.3 of direct operating costs linked to the COVID-19 </t>
        </r>
      </text>
    </comment>
    <comment ref="AQ27" authorId="0" shapeId="0" xr:uid="{00000000-0006-0000-0200-000013000000}">
      <text>
        <r>
          <rPr>
            <sz val="10"/>
            <color indexed="81"/>
            <rFont val="Arial"/>
            <family val="2"/>
            <scheme val="major"/>
          </rPr>
          <t xml:space="preserve">o/w -27.6 of direct operating costs linked to the COVID-19 </t>
        </r>
      </text>
    </comment>
    <comment ref="AR27" authorId="0" shapeId="0" xr:uid="{00000000-0006-0000-0200-000014000000}">
      <text>
        <r>
          <rPr>
            <sz val="10"/>
            <color indexed="81"/>
            <rFont val="Arial"/>
            <family val="2"/>
            <scheme val="major"/>
          </rPr>
          <t xml:space="preserve">o/w -18.9 of direct operating costs linked to the COVID-19 </t>
        </r>
      </text>
    </comment>
    <comment ref="Y35" authorId="0" shapeId="0" xr:uid="{00000000-0006-0000-0200-000016000000}">
      <text>
        <r>
          <rPr>
            <sz val="10"/>
            <color indexed="81"/>
            <rFont val="Arial"/>
            <family val="2"/>
          </rPr>
          <t>o/w +99.8 of financial income deriving from Brazilian tax credits</t>
        </r>
      </text>
    </comment>
    <comment ref="Z35" authorId="0" shapeId="0" xr:uid="{00000000-0006-0000-0200-000017000000}">
      <text>
        <r>
          <rPr>
            <sz val="10"/>
            <color indexed="81"/>
            <rFont val="Arial"/>
            <family val="2"/>
          </rPr>
          <t>o/w +99.8 of financial income deriving from Brazilian tax credits</t>
        </r>
      </text>
    </comment>
    <comment ref="AA35" authorId="0" shapeId="0" xr:uid="{00000000-0006-0000-0200-000018000000}">
      <text>
        <r>
          <rPr>
            <sz val="10"/>
            <color indexed="81"/>
            <rFont val="Arial"/>
            <family val="2"/>
          </rPr>
          <t>o/w +0.8 of financial income deriving from Brazilian tax credits</t>
        </r>
      </text>
    </comment>
    <comment ref="AB35" authorId="0" shapeId="0" xr:uid="{00000000-0006-0000-0200-000019000000}">
      <text>
        <r>
          <rPr>
            <sz val="10"/>
            <color indexed="81"/>
            <rFont val="Arial"/>
            <family val="2"/>
          </rPr>
          <t>o/w +100.6 of financial income deriving from Brazilian tax credits</t>
        </r>
      </text>
    </comment>
    <comment ref="AC35" authorId="0" shapeId="0" xr:uid="{00000000-0006-0000-0200-00001A000000}">
      <text>
        <r>
          <rPr>
            <sz val="10"/>
            <color indexed="81"/>
            <rFont val="Arial"/>
            <family val="2"/>
          </rPr>
          <t>o/w +6.7 of financial income deriving from Brazilian tax credits</t>
        </r>
      </text>
    </comment>
    <comment ref="AD35" authorId="0" shapeId="0" xr:uid="{00000000-0006-0000-0200-00001B000000}">
      <text>
        <r>
          <rPr>
            <sz val="10"/>
            <color indexed="81"/>
            <rFont val="Arial"/>
            <family val="2"/>
          </rPr>
          <t>o/w +107.3 of financial income deriving from Brazilian tax credits</t>
        </r>
      </text>
    </comment>
    <comment ref="AC36" authorId="0" shapeId="0" xr:uid="{00000000-0006-0000-0200-00001C000000}">
      <text>
        <r>
          <rPr>
            <sz val="10"/>
            <color indexed="81"/>
            <rFont val="Arial"/>
            <family val="2"/>
          </rPr>
          <t>o/w -34.5 of Brazilian tax credits impact</t>
        </r>
      </text>
    </comment>
    <comment ref="AD36" authorId="0" shapeId="0" xr:uid="{00000000-0006-0000-0200-00001D000000}">
      <text>
        <r>
          <rPr>
            <sz val="10"/>
            <color indexed="81"/>
            <rFont val="Arial"/>
            <family val="2"/>
          </rPr>
          <t>o/w -34.5 of Brazilian tax credits impact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7" authorId="0" shapeId="0" xr:uid="{21B71769-AA54-41FD-8922-B654B27FA0AB}">
      <text>
        <r>
          <rPr>
            <sz val="9"/>
            <color indexed="81"/>
            <rFont val="Tahoma"/>
            <family val="2"/>
          </rPr>
          <t>including:
• +110 of cost-cutting Covid
• -78 of slowdown</t>
        </r>
      </text>
    </comment>
    <comment ref="J17" authorId="0" shapeId="0" xr:uid="{12DC37CE-B23F-4244-88A0-1874D576E7FE}">
      <text>
        <r>
          <rPr>
            <sz val="9"/>
            <color indexed="81"/>
            <rFont val="Tahoma"/>
            <family val="2"/>
          </rPr>
          <t>including:
• -80 of cost-cutting Covid reverse
• +49 of slowdown reverse
• -11 of D&amp;A
• -32 of R&amp;D / mktg expenses
• -51 of Mgmt incentives</t>
        </r>
      </text>
    </comment>
    <comment ref="K17" authorId="0" shapeId="0" xr:uid="{65C1CCF0-E8EE-4D2D-9300-EB65E66604A2}">
      <text>
        <r>
          <rPr>
            <sz val="9"/>
            <color indexed="81"/>
            <rFont val="Tahoma"/>
            <family val="2"/>
          </rPr>
          <t xml:space="preserve">including:
• -30 of D&amp;A
• -10 of R&amp;D / mktg expenses
• +8 of Mgmt incentives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17" authorId="0" shapeId="0" xr:uid="{00000000-0006-0000-0600-000001000000}">
      <text>
        <r>
          <rPr>
            <sz val="10"/>
            <color theme="1"/>
            <rFont val="Arial"/>
            <family val="2"/>
          </rPr>
          <t>including +21 of cost-cutting</t>
        </r>
      </text>
    </comment>
    <comment ref="N17" authorId="0" shapeId="0" xr:uid="{00000000-0006-0000-0600-000002000000}">
      <text>
        <r>
          <rPr>
            <sz val="10"/>
            <color theme="1"/>
            <rFont val="Arial"/>
            <family val="2"/>
          </rPr>
          <t>including +21 of cost-cutting</t>
        </r>
      </text>
    </comment>
    <comment ref="O17" authorId="0" shapeId="0" xr:uid="{00000000-0006-0000-0600-000003000000}">
      <text>
        <r>
          <rPr>
            <sz val="10"/>
            <color theme="1"/>
            <rFont val="Arial"/>
            <family val="2"/>
          </rPr>
          <t>including +29 of cost-cutting</t>
        </r>
      </text>
    </comment>
    <comment ref="P17" authorId="0" shapeId="0" xr:uid="{00000000-0006-0000-0600-000004000000}">
      <text>
        <r>
          <rPr>
            <sz val="10"/>
            <color theme="1"/>
            <rFont val="Arial"/>
            <family val="2"/>
          </rPr>
          <t>including 50 of cost-cutting</t>
        </r>
      </text>
    </comment>
    <comment ref="Q17" authorId="0" shapeId="0" xr:uid="{00000000-0006-0000-0600-000005000000}">
      <text>
        <r>
          <rPr>
            <sz val="10"/>
            <color theme="1"/>
            <rFont val="Arial"/>
            <family val="2"/>
          </rPr>
          <t>including +13 of cost-cutting</t>
        </r>
      </text>
    </comment>
    <comment ref="R17" authorId="0" shapeId="0" xr:uid="{00000000-0006-0000-0600-000006000000}">
      <text>
        <r>
          <rPr>
            <sz val="10"/>
            <color theme="1"/>
            <rFont val="Arial"/>
            <family val="2"/>
          </rPr>
          <t>including +17 of cost-cutting</t>
        </r>
      </text>
    </comment>
    <comment ref="S17" authorId="0" shapeId="0" xr:uid="{00000000-0006-0000-0600-000007000000}">
      <text>
        <r>
          <rPr>
            <sz val="10"/>
            <color theme="1"/>
            <rFont val="Arial"/>
            <family val="2"/>
          </rPr>
          <t>including +30 of cost-cutting</t>
        </r>
      </text>
    </comment>
    <comment ref="T17" authorId="0" shapeId="0" xr:uid="{00000000-0006-0000-0600-000008000000}">
      <text>
        <r>
          <rPr>
            <sz val="10"/>
            <color theme="1"/>
            <rFont val="Arial"/>
            <family val="2"/>
          </rPr>
          <t>including:
• +10 of cost-cutting
• -10 of unabsorbed fixed costs</t>
        </r>
      </text>
    </comment>
    <comment ref="U17" authorId="0" shapeId="0" xr:uid="{00000000-0006-0000-0600-000009000000}">
      <text>
        <r>
          <rPr>
            <sz val="10"/>
            <color theme="1"/>
            <rFont val="Arial"/>
            <family val="2"/>
          </rPr>
          <t>including:
• +40 of cost-cutting
• -10 of unabsorbed fixed costs</t>
        </r>
      </text>
    </comment>
    <comment ref="V17" authorId="0" shapeId="0" xr:uid="{00000000-0006-0000-0600-00000A000000}">
      <text>
        <r>
          <rPr>
            <sz val="10"/>
            <color theme="1"/>
            <rFont val="Arial"/>
            <family val="2"/>
          </rPr>
          <t>including:
• +10 of cost-cutting
• -10 of unabsorbed fixed costs</t>
        </r>
      </text>
    </comment>
    <comment ref="W17" authorId="0" shapeId="0" xr:uid="{00000000-0006-0000-0600-00000B000000}">
      <text>
        <r>
          <rPr>
            <sz val="10"/>
            <color theme="1"/>
            <rFont val="Arial"/>
            <family val="2"/>
          </rPr>
          <t>including 50 of cost-cutting</t>
        </r>
      </text>
    </comment>
    <comment ref="X17" authorId="0" shapeId="0" xr:uid="{00000000-0006-0000-0600-00000C000000}">
      <text>
        <r>
          <rPr>
            <sz val="10"/>
            <color theme="1"/>
            <rFont val="Arial"/>
            <family val="2"/>
          </rPr>
          <t>including:
• +33 of cost-cutting Covid
• -16 of slowdown</t>
        </r>
      </text>
    </comment>
    <comment ref="Y17" authorId="0" shapeId="0" xr:uid="{00000000-0006-0000-0600-00000D000000}">
      <text>
        <r>
          <rPr>
            <sz val="10"/>
            <color theme="1"/>
            <rFont val="Arial"/>
            <family val="2"/>
          </rPr>
          <t>including:
• +29 of cost-cutting Covid
• -54 of slowdown</t>
        </r>
      </text>
    </comment>
    <comment ref="Z17" authorId="0" shapeId="0" xr:uid="{00000000-0006-0000-0600-00000E000000}">
      <text>
        <r>
          <rPr>
            <sz val="10"/>
            <color theme="1"/>
            <rFont val="Arial"/>
            <family val="2"/>
          </rPr>
          <t>including:
• +62 of cost-cutting Covid
• -71 of slowdown</t>
        </r>
      </text>
    </comment>
    <comment ref="AA17" authorId="0" shapeId="0" xr:uid="{00000000-0006-0000-0600-00000F000000}">
      <text>
        <r>
          <rPr>
            <sz val="10"/>
            <color theme="1"/>
            <rFont val="Arial"/>
            <family val="2"/>
          </rPr>
          <t>including:
• +29 of cost-cutting
• -8 of slowdown</t>
        </r>
      </text>
    </comment>
    <comment ref="AB17" authorId="0" shapeId="0" xr:uid="{00000000-0006-0000-0600-000010000000}">
      <text>
        <r>
          <rPr>
            <sz val="10"/>
            <color theme="1"/>
            <rFont val="Arial"/>
            <family val="2"/>
          </rPr>
          <t>including:
• +90 of cost-cutting
• -79 of slowdown</t>
        </r>
      </text>
    </comment>
    <comment ref="AC17" authorId="0" shapeId="0" xr:uid="{00000000-0006-0000-0600-000011000000}">
      <text>
        <r>
          <rPr>
            <sz val="10"/>
            <color theme="1"/>
            <rFont val="Arial"/>
            <family val="2"/>
          </rPr>
          <t>including:
• +20 of cost-cutting
• +1 of slowdown</t>
        </r>
      </text>
    </comment>
    <comment ref="AD17" authorId="0" shapeId="0" xr:uid="{00000000-0006-0000-0600-000012000000}">
      <text>
        <r>
          <rPr>
            <sz val="10"/>
            <color theme="1"/>
            <rFont val="Arial"/>
            <family val="2"/>
          </rPr>
          <t>including:
• +110 of cost-cutting
• -78 of unabsorbed fixed costs</t>
        </r>
      </text>
    </comment>
    <comment ref="AE17" authorId="0" shapeId="0" xr:uid="{00000000-0006-0000-0600-000013000000}">
      <text>
        <r>
          <rPr>
            <sz val="10"/>
            <color theme="1"/>
            <rFont val="Arial"/>
            <family val="2"/>
          </rPr>
          <t>including:
• -25 of cost-cutting Covid reverse
• +10 of slowdown reverse
• -4 of D&amp;A
• -27 of R&amp;D / mktg expenses</t>
        </r>
      </text>
    </comment>
    <comment ref="AF17" authorId="0" shapeId="0" xr:uid="{00000000-0006-0000-0600-000014000000}">
      <text>
        <r>
          <rPr>
            <sz val="10"/>
            <color theme="1"/>
            <rFont val="Arial"/>
            <family val="2"/>
          </rPr>
          <t>including:
• -29 of cost-cutting Covid reverse
• +34 of slowdown reverse
• -2 of D&amp;A
• -5 of R&amp;D / mktg expenses
• -13 of Mgmt incentives</t>
        </r>
      </text>
    </comment>
    <comment ref="AG17" authorId="0" shapeId="0" xr:uid="{00000000-0006-0000-0600-000015000000}">
      <text>
        <r>
          <rPr>
            <sz val="10"/>
            <color theme="1"/>
            <rFont val="Arial"/>
            <family val="2"/>
          </rPr>
          <t>including:
• -54 of cost-cutting Covid reverse
• +44 of slowdown reverse
• -6 of D&amp;A
• -32 of R&amp;D / mktg expenses
• -23 of Mgmt incentives</t>
        </r>
      </text>
    </comment>
    <comment ref="AH17" authorId="0" shapeId="0" xr:uid="{00000000-0006-0000-0600-000016000000}">
      <text>
        <r>
          <rPr>
            <sz val="10"/>
            <color theme="1"/>
            <rFont val="Arial"/>
            <family val="2"/>
          </rPr>
          <t>including:
• -16 of cost-cutting Covid reverse
• +4 of slowdown reverse
• -2 of D&amp;A
• -1 of R&amp;D / mktg expenses
• -13 of Mgmt incentives</t>
        </r>
      </text>
    </comment>
    <comment ref="AI17" authorId="0" shapeId="0" xr:uid="{00000000-0006-0000-0600-000017000000}">
      <text>
        <r>
          <rPr>
            <sz val="10"/>
            <color theme="1"/>
            <rFont val="Arial"/>
            <family val="2"/>
          </rPr>
          <t>including:
• -71 of cost-cutting Covid reverse
• +48 of slowdown reverse
• -8 of D&amp;A
• -33 of R&amp;D / mktg expenses
• -37 of Mgmt incentives</t>
        </r>
      </text>
    </comment>
    <comment ref="AJ17" authorId="0" shapeId="0" xr:uid="{00000000-0006-0000-0600-000018000000}">
      <text>
        <r>
          <rPr>
            <sz val="10"/>
            <color theme="1"/>
            <rFont val="Arial"/>
            <family val="2"/>
          </rPr>
          <t>including:
• -9 of cost-cutting Covid reverse
• +1 of slowdown reverse
• -3 of D&amp;A
• +1 of R&amp;D / mktg expenses
• -15 of Mgmt incentives</t>
        </r>
      </text>
    </comment>
    <comment ref="AK17" authorId="0" shapeId="0" xr:uid="{00000000-0006-0000-0600-000019000000}">
      <text>
        <r>
          <rPr>
            <sz val="10"/>
            <color theme="1"/>
            <rFont val="Arial"/>
            <family val="2"/>
          </rPr>
          <t>including:
• -80 of cost-cutting Covid reverse
• +49 of slowdown reverse
• -11 of D&amp;A
• -32 of R&amp;D / mktg expenses
• -51 of Mgmt incentives</t>
        </r>
      </text>
    </comment>
    <comment ref="AL17" authorId="0" shapeId="0" xr:uid="{00000000-0006-0000-0600-00001A000000}">
      <text>
        <r>
          <rPr>
            <sz val="10"/>
            <color theme="1"/>
            <rFont val="Arial"/>
            <family val="2"/>
          </rPr>
          <t>including:
• -5 of D&amp;A
• +7 of R&amp;D / mktg expenses</t>
        </r>
      </text>
    </comment>
    <comment ref="AM17" authorId="0" shapeId="0" xr:uid="{00000000-0006-0000-0600-00001B000000}">
      <text>
        <r>
          <rPr>
            <sz val="9"/>
            <color indexed="81"/>
            <rFont val="Tahoma"/>
            <family val="2"/>
          </rPr>
          <t>including:
• -5 of D&amp;A
• -5 of R&amp;D / mktg expenses</t>
        </r>
      </text>
    </comment>
    <comment ref="AN17" authorId="0" shapeId="0" xr:uid="{00000000-0006-0000-0600-00001C000000}">
      <text>
        <r>
          <rPr>
            <sz val="9"/>
            <color indexed="81"/>
            <rFont val="Tahoma"/>
            <family val="2"/>
          </rPr>
          <t>including:
• -10 of D&amp;A
• +2 of R&amp;D / mktg expenses</t>
        </r>
      </text>
    </comment>
    <comment ref="AO17" authorId="0" shapeId="0" xr:uid="{00000000-0006-0000-0600-00001D000000}">
      <text>
        <r>
          <rPr>
            <sz val="10"/>
            <color theme="1"/>
            <rFont val="Arial"/>
            <family val="2"/>
          </rPr>
          <t xml:space="preserve">including:
• -10 D&amp;A
• -24 Other costs 
</t>
        </r>
      </text>
    </comment>
    <comment ref="AP17" authorId="0" shapeId="0" xr:uid="{00000000-0006-0000-0600-00001E000000}">
      <text>
        <r>
          <rPr>
            <sz val="10"/>
            <color theme="1"/>
            <rFont val="Arial"/>
            <family val="2"/>
          </rPr>
          <t>including:
• -19.73 D&amp;A
• -24.83 Other costs</t>
        </r>
      </text>
    </comment>
    <comment ref="AQ17" authorId="0" shapeId="0" xr:uid="{3B81B11C-349A-4FF2-B0DD-35EEE3200516}">
      <text>
        <r>
          <rPr>
            <sz val="10"/>
            <color theme="1"/>
            <rFont val="Arial"/>
            <family val="2"/>
          </rPr>
          <t>including:
• -10 of D&amp;A</t>
        </r>
      </text>
    </comment>
    <comment ref="AR17" authorId="0" shapeId="0" xr:uid="{35F3FEFB-1DD6-4978-8919-6BA4AC79CDFF}">
      <text>
        <r>
          <rPr>
            <sz val="10"/>
            <color theme="1"/>
            <rFont val="Arial"/>
            <family val="2"/>
          </rPr>
          <t>including:
• -30 d&amp;a
• -25 Other Costs</t>
        </r>
      </text>
    </comment>
    <comment ref="AS17" authorId="0" shapeId="0" xr:uid="{A55B7C91-92F9-41E1-86FF-F6BFCE63719D}">
      <text>
        <r>
          <rPr>
            <sz val="9"/>
            <color theme="1"/>
            <rFont val="Arial"/>
            <family val="2"/>
            <scheme val="minor"/>
          </rPr>
          <t>D&amp;A</t>
        </r>
      </text>
    </comment>
    <comment ref="AT17" authorId="0" shapeId="0" xr:uid="{B2A3E5C4-2DED-4120-A89E-1D91C9477904}">
      <text>
        <r>
          <rPr>
            <sz val="9"/>
            <color indexed="81"/>
            <rFont val="Tahoma"/>
            <family val="2"/>
          </rPr>
          <t>including:
• -10 of D&amp;A
• -13 other</t>
        </r>
      </text>
    </comment>
    <comment ref="AU17" authorId="0" shapeId="0" xr:uid="{65AF91A1-3A9F-447D-A650-84EEF543667C}">
      <text>
        <r>
          <rPr>
            <sz val="9"/>
            <color indexed="81"/>
            <rFont val="Tahoma"/>
            <family val="2"/>
          </rPr>
          <t>including:
• -16 D&amp;A
• -14 Other</t>
        </r>
      </text>
    </comment>
    <comment ref="AV17" authorId="0" shapeId="0" xr:uid="{83C0720E-CD28-471A-91A5-6086CE212892}">
      <text>
        <r>
          <rPr>
            <sz val="9"/>
            <color indexed="81"/>
            <rFont val="Tahoma"/>
            <family val="2"/>
          </rPr>
          <t>including:
• -10 of D&amp;A
• -5 other</t>
        </r>
      </text>
    </comment>
    <comment ref="AW17" authorId="0" shapeId="0" xr:uid="{8452720A-E9BC-42C4-9951-1A9417133862}">
      <text>
        <r>
          <rPr>
            <sz val="9"/>
            <color indexed="81"/>
            <rFont val="Tahoma"/>
            <family val="2"/>
          </rPr>
          <t>including:
• -26 D&amp;A
• -19 Other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95" authorId="0" shapeId="0" xr:uid="{00000000-0006-0000-0700-000001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I97" authorId="0" shapeId="0" xr:uid="{00000000-0006-0000-0700-000002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95" authorId="0" shapeId="0" xr:uid="{00000000-0006-0000-0800-000001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M95" authorId="0" shapeId="0" xr:uid="{00000000-0006-0000-0800-000002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N95" authorId="0" shapeId="0" xr:uid="{00000000-0006-0000-0800-000003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O95" authorId="0" shapeId="0" xr:uid="{00000000-0006-0000-0800-000004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P95" authorId="0" shapeId="0" xr:uid="{00000000-0006-0000-0800-000005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Q95" authorId="0" shapeId="0" xr:uid="{00000000-0006-0000-0800-000006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R95" authorId="0" shapeId="0" xr:uid="{00000000-0006-0000-0800-000007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T95" authorId="0" shapeId="0" xr:uid="{00000000-0006-0000-0800-000008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U95" authorId="0" shapeId="0" xr:uid="{00000000-0006-0000-0800-000009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V95" authorId="0" shapeId="0" xr:uid="{00000000-0006-0000-0800-00000A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L97" authorId="0" shapeId="0" xr:uid="{00000000-0006-0000-0800-00000B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M97" authorId="0" shapeId="0" xr:uid="{00000000-0006-0000-0800-00000C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N97" authorId="0" shapeId="0" xr:uid="{00000000-0006-0000-0800-00000D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O97" authorId="0" shapeId="0" xr:uid="{00000000-0006-0000-0800-00000E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P97" authorId="0" shapeId="0" xr:uid="{00000000-0006-0000-0800-00000F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Q97" authorId="0" shapeId="0" xr:uid="{00000000-0006-0000-0800-000010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R97" authorId="0" shapeId="0" xr:uid="{00000000-0006-0000-0800-000011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T97" authorId="0" shapeId="0" xr:uid="{00000000-0006-0000-0800-000012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U97" authorId="0" shapeId="0" xr:uid="{00000000-0006-0000-0800-000013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V97" authorId="0" shapeId="0" xr:uid="{00000000-0006-0000-0800-000014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69" authorId="0" shapeId="0" xr:uid="{00000000-0006-0000-0900-000001000000}">
      <text>
        <r>
          <rPr>
            <sz val="10"/>
            <color indexed="81"/>
            <rFont val="Arial"/>
            <family val="2"/>
          </rPr>
          <t>including the reversal of income on tax credits Brazil</t>
        </r>
      </text>
    </comment>
    <comment ref="A77" authorId="0" shapeId="0" xr:uid="{00000000-0006-0000-0900-000002000000}">
      <text>
        <r>
          <rPr>
            <sz val="10"/>
            <color theme="1"/>
            <rFont val="Arial"/>
            <family val="2"/>
            <scheme val="minor"/>
          </rPr>
          <t>IAS line "Investments in owned tangible assets" includes both Investmens in tangible assets and change in payable for investments in tangible assets</t>
        </r>
      </text>
    </comment>
    <comment ref="A78" authorId="0" shapeId="0" xr:uid="{00000000-0006-0000-0900-000003000000}">
      <text>
        <r>
          <rPr>
            <sz val="10"/>
            <color theme="1"/>
            <rFont val="Arial"/>
            <family val="2"/>
            <scheme val="minor"/>
          </rPr>
          <t>IAS line "Investments in owned tangible assets" includes both Investmens in tangible assets and change in payable for investments in tangible assets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69" authorId="0" shapeId="0" xr:uid="{00000000-0006-0000-0A00-000001000000}">
      <text>
        <r>
          <rPr>
            <sz val="10"/>
            <color indexed="81"/>
            <rFont val="Arial"/>
            <family val="2"/>
          </rPr>
          <t>including the reversal of income on tax credits Brazil</t>
        </r>
      </text>
    </comment>
    <comment ref="Q69" authorId="0" shapeId="0" xr:uid="{00000000-0006-0000-0A00-000002000000}">
      <text>
        <r>
          <rPr>
            <sz val="10"/>
            <color indexed="81"/>
            <rFont val="Arial"/>
            <family val="2"/>
          </rPr>
          <t>including the reversal of income on tax credits Brazil</t>
        </r>
      </text>
    </comment>
    <comment ref="R69" authorId="0" shapeId="0" xr:uid="{00000000-0006-0000-0A00-000003000000}">
      <text>
        <r>
          <rPr>
            <sz val="10"/>
            <color indexed="81"/>
            <rFont val="Arial"/>
            <family val="2"/>
          </rPr>
          <t>including the reversal of income on tax credits Brazil</t>
        </r>
      </text>
    </comment>
    <comment ref="A77" authorId="0" shapeId="0" xr:uid="{00000000-0006-0000-0A00-000004000000}">
      <text>
        <r>
          <rPr>
            <sz val="10"/>
            <color theme="1"/>
            <rFont val="Arial"/>
            <family val="2"/>
            <scheme val="minor"/>
          </rPr>
          <t>IAS line "Investments in owned tangible assets" includes both Investmens in tangible assets and change in payable for investments in tangible assets</t>
        </r>
      </text>
    </comment>
    <comment ref="A78" authorId="0" shapeId="0" xr:uid="{00000000-0006-0000-0A00-000005000000}">
      <text>
        <r>
          <rPr>
            <sz val="10"/>
            <color theme="1"/>
            <rFont val="Arial"/>
            <family val="2"/>
            <scheme val="minor"/>
          </rPr>
          <t>IAS line "Investments in owned tangible assets" includes both Investmens in tangible assets and change in payable for investments in tangible assets</t>
        </r>
      </text>
    </comment>
  </commentList>
</comments>
</file>

<file path=xl/sharedStrings.xml><?xml version="1.0" encoding="utf-8"?>
<sst xmlns="http://schemas.openxmlformats.org/spreadsheetml/2006/main" count="1808" uniqueCount="394">
  <si>
    <t>Property, plant and equipment</t>
  </si>
  <si>
    <t>Intangible assets</t>
  </si>
  <si>
    <t>Assets held for sale</t>
  </si>
  <si>
    <t>Total Assets</t>
  </si>
  <si>
    <t>Total Equity</t>
  </si>
  <si>
    <t>Non-current liabilities</t>
  </si>
  <si>
    <t>Current liabilities</t>
  </si>
  <si>
    <t>Liabilities related to assets held for sale</t>
  </si>
  <si>
    <t>Total Liabilities and Equity</t>
  </si>
  <si>
    <t>I. Cash and cash equivalents at the end of the period (E+F+G+H)</t>
  </si>
  <si>
    <t>H. Venezuela deconsolidation</t>
  </si>
  <si>
    <t>G. Exchange differences from translation of cash and cash equivalents</t>
  </si>
  <si>
    <t>EBIT</t>
  </si>
  <si>
    <t>o/w Standard</t>
  </si>
  <si>
    <t xml:space="preserve">o/w High Value </t>
  </si>
  <si>
    <t>Equity attributable to the Group</t>
  </si>
  <si>
    <t>Equity attributable to non-controlling interests</t>
  </si>
  <si>
    <t>Results from Equity Investments</t>
  </si>
  <si>
    <t>Venezuela deconsolidation</t>
  </si>
  <si>
    <t>Taxes</t>
  </si>
  <si>
    <t>Net income (loss)</t>
  </si>
  <si>
    <t>Pirelli de Venezuela C.A. impact</t>
  </si>
  <si>
    <t>Steelcord impact</t>
  </si>
  <si>
    <t>Research &amp; Development costs</t>
  </si>
  <si>
    <t>FY 2014</t>
  </si>
  <si>
    <t>FY 2015</t>
  </si>
  <si>
    <t>FY 2016</t>
  </si>
  <si>
    <t>Volumes</t>
  </si>
  <si>
    <t>Price/Mix</t>
  </si>
  <si>
    <t>Total</t>
  </si>
  <si>
    <t>Amortization of PPA</t>
  </si>
  <si>
    <t>o/w Minorities</t>
  </si>
  <si>
    <t>Start-up costs</t>
  </si>
  <si>
    <t>Net income (Loss) from discontinued operations</t>
  </si>
  <si>
    <t>Adjusted Taxes</t>
  </si>
  <si>
    <t>Investments</t>
  </si>
  <si>
    <t>Europe</t>
  </si>
  <si>
    <t>NAFTA</t>
  </si>
  <si>
    <t>LatAm</t>
  </si>
  <si>
    <t>APac</t>
  </si>
  <si>
    <t>Russia &amp; CIS</t>
  </si>
  <si>
    <t>MEAI</t>
  </si>
  <si>
    <t>Adjusted Revenues drivers vs. previous year</t>
  </si>
  <si>
    <t>Raw materials</t>
  </si>
  <si>
    <t>Efficiencies</t>
  </si>
  <si>
    <t>Other input costs</t>
  </si>
  <si>
    <t>Exchange rate</t>
  </si>
  <si>
    <t>D&amp;A / Other</t>
  </si>
  <si>
    <t>Adjusted EBIT bridge drivers</t>
  </si>
  <si>
    <t>Financial Investments</t>
  </si>
  <si>
    <t>Net operating working capital</t>
  </si>
  <si>
    <t>Inventories</t>
  </si>
  <si>
    <t>Trade receivables</t>
  </si>
  <si>
    <t>Trade payables</t>
  </si>
  <si>
    <t>Other payables / receivable</t>
  </si>
  <si>
    <t>Net Working Capital</t>
  </si>
  <si>
    <t>Net invested capital</t>
  </si>
  <si>
    <t>Net equity</t>
  </si>
  <si>
    <t>Provisions</t>
  </si>
  <si>
    <t>Net Financial Position</t>
  </si>
  <si>
    <t>Source of financing</t>
  </si>
  <si>
    <t>Reclassified balance items</t>
  </si>
  <si>
    <t>o/w Goodwill</t>
  </si>
  <si>
    <t>Investments in associates and J.V.</t>
  </si>
  <si>
    <t>Other financial assets</t>
  </si>
  <si>
    <t>Deferred tax assets</t>
  </si>
  <si>
    <t>Other receivables</t>
  </si>
  <si>
    <t>Tax receivables</t>
  </si>
  <si>
    <t>Non-current assets</t>
  </si>
  <si>
    <t>Securities held for trading</t>
  </si>
  <si>
    <t>Cash and cash equivalents</t>
  </si>
  <si>
    <t>Derivative financial instruments</t>
  </si>
  <si>
    <t>Current assets</t>
  </si>
  <si>
    <t>Share capital</t>
  </si>
  <si>
    <t>Reserves</t>
  </si>
  <si>
    <t>IAS balance items: Assets</t>
  </si>
  <si>
    <t>IAS balance items: Liabilities and Equity</t>
  </si>
  <si>
    <t>Borrowings from banks and other financial institutions</t>
  </si>
  <si>
    <t>Other payables</t>
  </si>
  <si>
    <t>Provisions for liabilities and charges</t>
  </si>
  <si>
    <t>Tax payables</t>
  </si>
  <si>
    <t>Total Liabilities</t>
  </si>
  <si>
    <t>Europe (% on total)</t>
  </si>
  <si>
    <t>NAFTA (% on total)</t>
  </si>
  <si>
    <t>LatAm (% on total)</t>
  </si>
  <si>
    <t>Russia &amp; CIS (% on total)</t>
  </si>
  <si>
    <t>MEAI (% on total)</t>
  </si>
  <si>
    <t>Reversal of Net income (Loss) from discontinued operations</t>
  </si>
  <si>
    <t>Reversal of Taxes</t>
  </si>
  <si>
    <t>Reversals of amortization, depreciation, impairment losses and restatement of property, plant and equipment and intangible assets</t>
  </si>
  <si>
    <t>Reversal of financial expenses</t>
  </si>
  <si>
    <t>Reversal of financial income</t>
  </si>
  <si>
    <t>Reversal of Venezuela deconsolidation</t>
  </si>
  <si>
    <t>Reversal of dividends</t>
  </si>
  <si>
    <t>Reversal of gains / (losses) on equity investments</t>
  </si>
  <si>
    <t>Reversal of share of net income from associates and joint ventures</t>
  </si>
  <si>
    <t>Net income (loss) before taxes</t>
  </si>
  <si>
    <t>Change in inventories</t>
  </si>
  <si>
    <t>Change in trade receivables</t>
  </si>
  <si>
    <t>Change in trade payables</t>
  </si>
  <si>
    <t>Change in other receivables / other payables</t>
  </si>
  <si>
    <t>Investments in intangible assets</t>
  </si>
  <si>
    <t>Steelcord disposal</t>
  </si>
  <si>
    <t>Disposals (Acquisition) of investments in subsidiaries, associates and JVs</t>
  </si>
  <si>
    <t>Sale of 38% of Pirelli Industrial to Cinda fund</t>
  </si>
  <si>
    <t>Sale of 10% of Pirelli Industrial</t>
  </si>
  <si>
    <t>Acquisition of 80% of Jiaozuo Aeolus Tyre Co. Ltd (net of acquired liquidity)</t>
  </si>
  <si>
    <t>Increase (reduction) in equity</t>
  </si>
  <si>
    <t>Cash flow from separation of Industrial Business</t>
  </si>
  <si>
    <t>Change in financial payables</t>
  </si>
  <si>
    <t>Dividends paid</t>
  </si>
  <si>
    <t>Net cash flows provided by (used in) operating activities before changes in working capital</t>
  </si>
  <si>
    <t>A. Net cash flows provided by (used in) operating activities</t>
  </si>
  <si>
    <t>B. Net cash flows provided by (used in) investing activities</t>
  </si>
  <si>
    <t>Financial income (expenses)</t>
  </si>
  <si>
    <t>C. Net cash flows provided by (used in) financing activities</t>
  </si>
  <si>
    <t>D. Total financial cash flow provided by (used in) discontinued operations</t>
  </si>
  <si>
    <t>E. Total cash flows provided (used) during the period (A+B+C+D)</t>
  </si>
  <si>
    <t>Net Financial Income (Charges)</t>
  </si>
  <si>
    <t>o/w dedicated to High Value products and services</t>
  </si>
  <si>
    <t>Key Balance Sheet metrics</t>
  </si>
  <si>
    <t>9M 2016</t>
  </si>
  <si>
    <t>9M 2017</t>
  </si>
  <si>
    <t>Other</t>
  </si>
  <si>
    <t>Sale of Steelcord</t>
  </si>
  <si>
    <t>Dividends</t>
  </si>
  <si>
    <t>Sale of 38% of P.I. to Cinda</t>
  </si>
  <si>
    <t>Debt push down from merger</t>
  </si>
  <si>
    <t>Industrial reorganization</t>
  </si>
  <si>
    <t>Capital increase</t>
  </si>
  <si>
    <t>Derivatives included in Net Financial Position</t>
  </si>
  <si>
    <t>Derivatives not included in Net Financial Position</t>
  </si>
  <si>
    <t>Other receivables included in Net Financial Position</t>
  </si>
  <si>
    <t>Other receivables not included in Net Financial Position</t>
  </si>
  <si>
    <t>Net invested capital related to assets held for sale</t>
  </si>
  <si>
    <t>Provisions related to assets held for sale</t>
  </si>
  <si>
    <t>Net Financial Position related to assets held for sale</t>
  </si>
  <si>
    <t>Net Financial Position related to continuing operations</t>
  </si>
  <si>
    <t>Provisions related to continuing operations</t>
  </si>
  <si>
    <t>Net invested capital related to continuing operations</t>
  </si>
  <si>
    <t>NFP at the beginning of the period (reported)</t>
  </si>
  <si>
    <t>Reversal of other items from Pirelli Industrial</t>
  </si>
  <si>
    <t>Reversal of Pirelli Industrial dividends</t>
  </si>
  <si>
    <t>Balance Sheet - Full Year</t>
  </si>
  <si>
    <t>Cash Flow - Full Year</t>
  </si>
  <si>
    <t>Reversal of carve-out of Pirelli Industrial</t>
  </si>
  <si>
    <t>Net income (Loss) from continuing operations</t>
  </si>
  <si>
    <t>IAS Cash Flow view</t>
  </si>
  <si>
    <t>Selected Financial Measures</t>
  </si>
  <si>
    <t>Reclassified Cash Flow view</t>
  </si>
  <si>
    <t>Financial Highlights</t>
  </si>
  <si>
    <t>Adjusted revenues details</t>
  </si>
  <si>
    <t>Adjusted EBIT bridge</t>
  </si>
  <si>
    <t>Balance sheet</t>
  </si>
  <si>
    <t>Cash flow</t>
  </si>
  <si>
    <t>Legenda</t>
  </si>
  <si>
    <t>Blue: Input</t>
  </si>
  <si>
    <t>Black: Formula</t>
  </si>
  <si>
    <t>Green: Link</t>
  </si>
  <si>
    <t>Operating Cash Flow</t>
  </si>
  <si>
    <t>Net Cash Flow before extraordinary operations</t>
  </si>
  <si>
    <t>FY 2017</t>
  </si>
  <si>
    <t>1H 2016</t>
  </si>
  <si>
    <t>1Q 2016</t>
  </si>
  <si>
    <t>3Q 2017</t>
  </si>
  <si>
    <t>1H 2017</t>
  </si>
  <si>
    <t>2Q 2017</t>
  </si>
  <si>
    <t>1Q 2017</t>
  </si>
  <si>
    <t>4Q 2017</t>
  </si>
  <si>
    <t>4Q 2016</t>
  </si>
  <si>
    <t>2Q 2016</t>
  </si>
  <si>
    <t>3Q 2016</t>
  </si>
  <si>
    <t>APac (% on total)</t>
  </si>
  <si>
    <t>Tax rate</t>
  </si>
  <si>
    <t>n.m.</t>
  </si>
  <si>
    <t>reported</t>
  </si>
  <si>
    <t>carve-out</t>
  </si>
  <si>
    <t>Δ Working Capital / Other</t>
  </si>
  <si>
    <t>Bidco NFP variation from da 1-Jan-16 to 31-May-16</t>
  </si>
  <si>
    <t>Bidco Facility costs after merger</t>
  </si>
  <si>
    <t>Other refinancing adjustments</t>
  </si>
  <si>
    <t>Cash-in from Cinda of 38% Pirelli Industrial stake</t>
  </si>
  <si>
    <t>NFP impact from Aeolus Car</t>
  </si>
  <si>
    <t>Sale of 10% Pirelli Industrial Holding / acqusition of 80% Aeolus Car</t>
  </si>
  <si>
    <t>% of High Value EBIT</t>
  </si>
  <si>
    <t>Net income (loss) from continuing operations</t>
  </si>
  <si>
    <t>Net income (loss) from discontinued operations</t>
  </si>
  <si>
    <t>Revenues</t>
  </si>
  <si>
    <t>Disclaimer</t>
  </si>
  <si>
    <t>restated</t>
  </si>
  <si>
    <t>€ million</t>
  </si>
  <si>
    <t>Financial Highlights - Full Year figures</t>
  </si>
  <si>
    <t>Adjusted EBIT bridge - Full Year figures</t>
  </si>
  <si>
    <t>Financial Highlights - Interim figures</t>
  </si>
  <si>
    <t>Adjusted EBIT bridge - Interim figures</t>
  </si>
  <si>
    <t>Balance Sheet - Interim figures</t>
  </si>
  <si>
    <t>Cash Flow - Interim figures</t>
  </si>
  <si>
    <t>Net Financial Position at the beginning of the period</t>
  </si>
  <si>
    <r>
      <rPr>
        <b/>
        <sz val="10"/>
        <color theme="1"/>
        <rFont val="Arial"/>
        <family val="2"/>
      </rPr>
      <t>2014-2016 carve-out figures</t>
    </r>
    <r>
      <rPr>
        <sz val="10"/>
        <color theme="1"/>
        <rFont val="Arial"/>
        <family val="2"/>
      </rPr>
      <t>: prepared for the IPO, in order to represent the new Company perimeter after the assignation of Industrial activities to Marco Polo International Italy S.p.A. (“Marco Polo”) in March 2017.</t>
    </r>
  </si>
  <si>
    <r>
      <t>Current Ratio (</t>
    </r>
    <r>
      <rPr>
        <sz val="10"/>
        <color rgb="FFE22526"/>
        <rFont val="Arial"/>
        <family val="2"/>
      </rPr>
      <t>1</t>
    </r>
    <r>
      <rPr>
        <sz val="10"/>
        <color theme="1"/>
        <rFont val="Arial"/>
        <family val="2"/>
      </rPr>
      <t>)</t>
    </r>
  </si>
  <si>
    <r>
      <t>Quick Ratio (</t>
    </r>
    <r>
      <rPr>
        <sz val="10"/>
        <color rgb="FFE22526"/>
        <rFont val="Arial"/>
        <family val="2"/>
      </rPr>
      <t>2</t>
    </r>
    <r>
      <rPr>
        <sz val="10"/>
        <color theme="1"/>
        <rFont val="Arial"/>
        <family val="2"/>
      </rPr>
      <t>)</t>
    </r>
  </si>
  <si>
    <r>
      <rPr>
        <sz val="8"/>
        <color rgb="FFE22526"/>
        <rFont val="Arial"/>
        <family val="2"/>
      </rPr>
      <t>1</t>
    </r>
    <r>
      <rPr>
        <sz val="8"/>
        <color theme="1"/>
        <rFont val="Arial"/>
        <family val="2"/>
      </rPr>
      <t>. obtained as: Current Assets / Current Liabilities</t>
    </r>
  </si>
  <si>
    <r>
      <rPr>
        <sz val="8"/>
        <color rgb="FFE22526"/>
        <rFont val="Arial"/>
        <family val="2"/>
      </rPr>
      <t>2</t>
    </r>
    <r>
      <rPr>
        <sz val="8"/>
        <color theme="1"/>
        <rFont val="Arial"/>
        <family val="2"/>
      </rPr>
      <t>. obtained as: (Current Assets - Inventories) / Current Liabilities</t>
    </r>
  </si>
  <si>
    <r>
      <rPr>
        <sz val="8"/>
        <color rgb="FFE22526"/>
        <rFont val="Arial"/>
        <family val="2"/>
      </rPr>
      <t>1</t>
    </r>
    <r>
      <rPr>
        <sz val="8"/>
        <color theme="1"/>
        <rFont val="Arial"/>
        <family val="2"/>
      </rPr>
      <t>. Adjusted EBITDA: calculated by adjusting EBITDA for non-recurring and restructuring expenses, the contribution to the consolidated financial statements made by Pirelli Venezuela C.A. and the contribution to the consolidated financial statements made by the Steelcord activities.</t>
    </r>
  </si>
  <si>
    <r>
      <t>Adjusted EBIT (</t>
    </r>
    <r>
      <rPr>
        <sz val="10"/>
        <color rgb="FFE22526"/>
        <rFont val="Arial"/>
        <family val="2"/>
      </rPr>
      <t>2</t>
    </r>
    <r>
      <rPr>
        <sz val="10"/>
        <color theme="1"/>
        <rFont val="Arial"/>
        <family val="2"/>
      </rPr>
      <t>) margin</t>
    </r>
  </si>
  <si>
    <r>
      <t>Adjusted EBIT (</t>
    </r>
    <r>
      <rPr>
        <b/>
        <sz val="10"/>
        <color rgb="FFE22526"/>
        <rFont val="Arial"/>
        <family val="2"/>
      </rPr>
      <t>2</t>
    </r>
    <r>
      <rPr>
        <b/>
        <sz val="10"/>
        <color theme="1"/>
        <rFont val="Arial"/>
        <family val="2"/>
      </rPr>
      <t>)</t>
    </r>
  </si>
  <si>
    <r>
      <t>Adjusted EBITDA (</t>
    </r>
    <r>
      <rPr>
        <b/>
        <sz val="10"/>
        <color rgb="FFE22526"/>
        <rFont val="Arial"/>
        <family val="2"/>
      </rPr>
      <t>1</t>
    </r>
    <r>
      <rPr>
        <b/>
        <sz val="10"/>
        <color theme="1"/>
        <rFont val="Arial"/>
        <family val="2"/>
      </rPr>
      <t>)</t>
    </r>
  </si>
  <si>
    <r>
      <t>Adjusted EBITDA (</t>
    </r>
    <r>
      <rPr>
        <sz val="10"/>
        <color rgb="FFE22526"/>
        <rFont val="Arial"/>
        <family val="2"/>
      </rPr>
      <t>1</t>
    </r>
    <r>
      <rPr>
        <sz val="10"/>
        <color theme="1"/>
        <rFont val="Arial"/>
        <family val="2"/>
      </rPr>
      <t>) margin</t>
    </r>
  </si>
  <si>
    <r>
      <t>Adjusted Revenues (</t>
    </r>
    <r>
      <rPr>
        <b/>
        <sz val="10"/>
        <color rgb="FFE22526"/>
        <rFont val="Arial"/>
        <family val="2"/>
      </rPr>
      <t>1</t>
    </r>
    <r>
      <rPr>
        <b/>
        <sz val="10"/>
        <color theme="1"/>
        <rFont val="Arial"/>
        <family val="2"/>
      </rPr>
      <t>)</t>
    </r>
  </si>
  <si>
    <r>
      <t>Adjusted EBITDA (</t>
    </r>
    <r>
      <rPr>
        <b/>
        <sz val="10"/>
        <color rgb="FFE22526"/>
        <rFont val="Arial"/>
        <family val="2"/>
      </rPr>
      <t>2</t>
    </r>
    <r>
      <rPr>
        <b/>
        <sz val="10"/>
        <color theme="1"/>
        <rFont val="Arial"/>
        <family val="2"/>
      </rPr>
      <t>) without start-up costs (</t>
    </r>
    <r>
      <rPr>
        <b/>
        <sz val="10"/>
        <color rgb="FFE22526"/>
        <rFont val="Arial"/>
        <family val="2"/>
      </rPr>
      <t>6</t>
    </r>
    <r>
      <rPr>
        <b/>
        <sz val="10"/>
        <color theme="1"/>
        <rFont val="Arial"/>
        <family val="2"/>
      </rPr>
      <t>)</t>
    </r>
  </si>
  <si>
    <r>
      <t>Adjusted EBITDA (</t>
    </r>
    <r>
      <rPr>
        <sz val="10"/>
        <color rgb="FFE22526"/>
        <rFont val="Arial"/>
        <family val="2"/>
      </rPr>
      <t>2</t>
    </r>
    <r>
      <rPr>
        <sz val="10"/>
        <color theme="1"/>
        <rFont val="Arial"/>
        <family val="2"/>
      </rPr>
      <t>) without start-up costs (</t>
    </r>
    <r>
      <rPr>
        <sz val="10"/>
        <color rgb="FFE22526"/>
        <rFont val="Arial"/>
        <family val="2"/>
      </rPr>
      <t>6</t>
    </r>
    <r>
      <rPr>
        <sz val="10"/>
        <color theme="1"/>
        <rFont val="Arial"/>
        <family val="2"/>
      </rPr>
      <t>) margin</t>
    </r>
  </si>
  <si>
    <r>
      <t>Adjusted EBITDA (</t>
    </r>
    <r>
      <rPr>
        <b/>
        <sz val="10"/>
        <color rgb="FFE22526"/>
        <rFont val="Arial"/>
        <family val="2"/>
      </rPr>
      <t>2</t>
    </r>
    <r>
      <rPr>
        <b/>
        <sz val="10"/>
        <color theme="1"/>
        <rFont val="Arial"/>
        <family val="2"/>
      </rPr>
      <t>)</t>
    </r>
  </si>
  <si>
    <r>
      <t>Adjusted EBITDA (</t>
    </r>
    <r>
      <rPr>
        <sz val="10"/>
        <color rgb="FFE22526"/>
        <rFont val="Arial"/>
        <family val="2"/>
      </rPr>
      <t>2</t>
    </r>
    <r>
      <rPr>
        <sz val="10"/>
        <color theme="1"/>
        <rFont val="Arial"/>
        <family val="2"/>
      </rPr>
      <t>) margin</t>
    </r>
  </si>
  <si>
    <r>
      <t>Adjusted EBIT (</t>
    </r>
    <r>
      <rPr>
        <b/>
        <sz val="10"/>
        <color rgb="FFE22526"/>
        <rFont val="Arial"/>
        <family val="2"/>
      </rPr>
      <t>3</t>
    </r>
    <r>
      <rPr>
        <b/>
        <sz val="10"/>
        <color theme="1"/>
        <rFont val="Arial"/>
        <family val="2"/>
      </rPr>
      <t>) without start-up costs (</t>
    </r>
    <r>
      <rPr>
        <b/>
        <sz val="10"/>
        <color rgb="FFE22526"/>
        <rFont val="Arial"/>
        <family val="2"/>
      </rPr>
      <t>6</t>
    </r>
    <r>
      <rPr>
        <b/>
        <sz val="10"/>
        <color theme="1"/>
        <rFont val="Arial"/>
        <family val="2"/>
      </rPr>
      <t>)</t>
    </r>
  </si>
  <si>
    <r>
      <t>Adjusted EBIT (</t>
    </r>
    <r>
      <rPr>
        <sz val="10"/>
        <color rgb="FFE22526"/>
        <rFont val="Arial"/>
        <family val="2"/>
      </rPr>
      <t>3</t>
    </r>
    <r>
      <rPr>
        <sz val="10"/>
        <color theme="1"/>
        <rFont val="Arial"/>
        <family val="2"/>
      </rPr>
      <t>) margin without start-up costs (</t>
    </r>
    <r>
      <rPr>
        <sz val="10"/>
        <color rgb="FFE22526"/>
        <rFont val="Arial"/>
        <family val="2"/>
      </rPr>
      <t>6</t>
    </r>
    <r>
      <rPr>
        <sz val="10"/>
        <color theme="1"/>
        <rFont val="Arial"/>
        <family val="2"/>
      </rPr>
      <t>)</t>
    </r>
  </si>
  <si>
    <r>
      <t>Adjusted EBIT (</t>
    </r>
    <r>
      <rPr>
        <b/>
        <sz val="10"/>
        <color rgb="FFE22526"/>
        <rFont val="Arial"/>
        <family val="2"/>
      </rPr>
      <t>3</t>
    </r>
    <r>
      <rPr>
        <b/>
        <sz val="10"/>
        <color theme="1"/>
        <rFont val="Arial"/>
        <family val="2"/>
      </rPr>
      <t>)</t>
    </r>
  </si>
  <si>
    <r>
      <t>Adjusted EBIT (</t>
    </r>
    <r>
      <rPr>
        <sz val="10"/>
        <color rgb="FFE22526"/>
        <rFont val="Arial"/>
        <family val="2"/>
      </rPr>
      <t>3</t>
    </r>
    <r>
      <rPr>
        <sz val="10"/>
        <color theme="1"/>
        <rFont val="Arial"/>
        <family val="2"/>
      </rPr>
      <t>) margin</t>
    </r>
  </si>
  <si>
    <r>
      <t>Net Income Adjusted (</t>
    </r>
    <r>
      <rPr>
        <b/>
        <sz val="10"/>
        <color rgb="FFE22526"/>
        <rFont val="Arial"/>
        <family val="2"/>
      </rPr>
      <t>4</t>
    </r>
    <r>
      <rPr>
        <b/>
        <sz val="10"/>
        <color theme="1"/>
        <rFont val="Arial"/>
        <family val="2"/>
      </rPr>
      <t>)</t>
    </r>
  </si>
  <si>
    <r>
      <t>Net Income Adjusted (</t>
    </r>
    <r>
      <rPr>
        <sz val="10"/>
        <color rgb="FFE22526"/>
        <rFont val="Arial"/>
        <family val="2"/>
      </rPr>
      <t>4</t>
    </r>
    <r>
      <rPr>
        <sz val="10"/>
        <color theme="1"/>
        <rFont val="Arial"/>
        <family val="2"/>
      </rPr>
      <t>) margin</t>
    </r>
  </si>
  <si>
    <r>
      <t>Cash conversion ratio (</t>
    </r>
    <r>
      <rPr>
        <sz val="10"/>
        <color rgb="FFE22526"/>
        <rFont val="Arial"/>
        <family val="2"/>
      </rPr>
      <t>5</t>
    </r>
    <r>
      <rPr>
        <sz val="10"/>
        <color theme="1"/>
        <rFont val="Arial"/>
        <family val="2"/>
      </rPr>
      <t>)</t>
    </r>
  </si>
  <si>
    <r>
      <t>R&amp;D costs / Adjusted Revenues (</t>
    </r>
    <r>
      <rPr>
        <sz val="10"/>
        <color rgb="FFE22526"/>
        <rFont val="Arial"/>
        <family val="2"/>
      </rPr>
      <t>1</t>
    </r>
    <r>
      <rPr>
        <sz val="10"/>
        <color theme="1"/>
        <rFont val="Arial"/>
        <family val="2"/>
      </rPr>
      <t>)</t>
    </r>
  </si>
  <si>
    <r>
      <t>High Value R&amp;D costs / High Value Revenues (</t>
    </r>
    <r>
      <rPr>
        <sz val="10"/>
        <color rgb="FFE22526"/>
        <rFont val="Arial"/>
        <family val="2"/>
      </rPr>
      <t>1</t>
    </r>
    <r>
      <rPr>
        <sz val="10"/>
        <color theme="1"/>
        <rFont val="Arial"/>
        <family val="2"/>
      </rPr>
      <t>)</t>
    </r>
  </si>
  <si>
    <r>
      <rPr>
        <sz val="8"/>
        <color rgb="FFE22526"/>
        <rFont val="Arial"/>
        <family val="2"/>
      </rPr>
      <t>1</t>
    </r>
    <r>
      <rPr>
        <sz val="8"/>
        <color theme="1"/>
        <rFont val="Arial"/>
        <family val="2"/>
      </rPr>
      <t>. Adjusted Revenues: calculated by subtracting the contribution to the consolidated financial statements made by Pirelli Venezuela C.A. (to account for the deconsolidation of such company) from Revenues from sales and services.</t>
    </r>
  </si>
  <si>
    <r>
      <rPr>
        <sz val="8"/>
        <color rgb="FFE22526"/>
        <rFont val="Arial"/>
        <family val="2"/>
      </rPr>
      <t>4</t>
    </r>
    <r>
      <rPr>
        <sz val="8"/>
        <color theme="1"/>
        <rFont val="Arial"/>
        <family val="2"/>
      </rPr>
      <t>. Net Income Adjusted: calculated by adjusting Total net income (loss) for EBIT adjustments, the Venezuela deconsolidation, Net financial expenses and Tax.</t>
    </r>
  </si>
  <si>
    <r>
      <rPr>
        <sz val="8"/>
        <color rgb="FFE22526"/>
        <rFont val="Arial"/>
        <family val="2"/>
      </rPr>
      <t>5</t>
    </r>
    <r>
      <rPr>
        <sz val="8"/>
        <color theme="1"/>
        <rFont val="Arial"/>
        <family val="2"/>
      </rPr>
      <t>. Cash conversion ratio: calculated by dividing (Adjusted EBITDA - CapEx) by Adjusted EBITDA.</t>
    </r>
  </si>
  <si>
    <r>
      <rPr>
        <sz val="8"/>
        <color rgb="FFE22526"/>
        <rFont val="Arial"/>
        <family val="2"/>
      </rPr>
      <t>6</t>
    </r>
    <r>
      <rPr>
        <sz val="8"/>
        <color theme="1"/>
        <rFont val="Arial"/>
        <family val="2"/>
      </rPr>
      <t>. Start-up costs are related to (i) the start-up phase of programs addressing new customer requirements such as connectivity (cyber assets) and our return to the bicycles business (the Velo project), (ii) activities addressing the digital transformation of society, and (iii) work on the conversion of the Aeolus car factory acquired on October 1, 2016, from the production of Aeolus-brand products to Pirelli-brand products.</t>
    </r>
  </si>
  <si>
    <t>Full year figures</t>
  </si>
  <si>
    <t>Interim figures</t>
  </si>
  <si>
    <t>n.a.</t>
  </si>
  <si>
    <r>
      <t>Adjusted EBIT (</t>
    </r>
    <r>
      <rPr>
        <b/>
        <sz val="10"/>
        <color rgb="FFE22526"/>
        <rFont val="Arial"/>
        <family val="2"/>
      </rPr>
      <t>2</t>
    </r>
    <r>
      <rPr>
        <b/>
        <sz val="10"/>
        <color theme="1"/>
        <rFont val="Arial"/>
        <family val="2"/>
      </rPr>
      <t>) without start-up costs (</t>
    </r>
    <r>
      <rPr>
        <b/>
        <sz val="10"/>
        <color rgb="FFE22526"/>
        <rFont val="Arial"/>
        <family val="2"/>
      </rPr>
      <t>3</t>
    </r>
    <r>
      <rPr>
        <b/>
        <sz val="10"/>
        <color theme="1"/>
        <rFont val="Arial"/>
        <family val="2"/>
      </rPr>
      <t>)</t>
    </r>
  </si>
  <si>
    <r>
      <t>Adjusted EBIT (</t>
    </r>
    <r>
      <rPr>
        <sz val="10"/>
        <color rgb="FFE22526"/>
        <rFont val="Arial"/>
        <family val="2"/>
      </rPr>
      <t>2</t>
    </r>
    <r>
      <rPr>
        <sz val="10"/>
        <color theme="1"/>
        <rFont val="Arial"/>
        <family val="2"/>
      </rPr>
      <t>) without start-up costs (</t>
    </r>
    <r>
      <rPr>
        <sz val="10"/>
        <color rgb="FFE22526"/>
        <rFont val="Arial"/>
        <family val="2"/>
      </rPr>
      <t>3</t>
    </r>
    <r>
      <rPr>
        <sz val="10"/>
        <color theme="1"/>
        <rFont val="Arial"/>
        <family val="2"/>
      </rPr>
      <t>) margin</t>
    </r>
  </si>
  <si>
    <r>
      <t>Adjusted EBITDA (</t>
    </r>
    <r>
      <rPr>
        <sz val="10"/>
        <color rgb="FFE22526"/>
        <rFont val="Arial"/>
        <family val="2"/>
      </rPr>
      <t>1</t>
    </r>
    <r>
      <rPr>
        <sz val="10"/>
        <color theme="1"/>
        <rFont val="Arial"/>
        <family val="2"/>
      </rPr>
      <t>)</t>
    </r>
  </si>
  <si>
    <t>EBIT adjustments</t>
  </si>
  <si>
    <t>Net financial expenses</t>
  </si>
  <si>
    <t>1Q 2018</t>
  </si>
  <si>
    <t>Dividends received (including dividends from associates and J.V.)</t>
  </si>
  <si>
    <t>Contract liabilities</t>
  </si>
  <si>
    <r>
      <t>Perimeter / Other (</t>
    </r>
    <r>
      <rPr>
        <sz val="8"/>
        <color rgb="FFE22526"/>
        <rFont val="Arial"/>
        <family val="2"/>
      </rPr>
      <t>1</t>
    </r>
    <r>
      <rPr>
        <sz val="10"/>
        <color theme="1"/>
        <rFont val="Arial"/>
        <family val="2"/>
      </rPr>
      <t>)</t>
    </r>
  </si>
  <si>
    <t>Other financial assets at fair value through income statement</t>
  </si>
  <si>
    <r>
      <rPr>
        <sz val="8"/>
        <color rgb="FFE22526"/>
        <rFont val="Arial"/>
        <family val="2"/>
      </rPr>
      <t>2</t>
    </r>
    <r>
      <rPr>
        <sz val="8"/>
        <color theme="1"/>
        <rFont val="Arial"/>
        <family val="2"/>
      </rPr>
      <t xml:space="preserve">. Adjusted EBIT: calculating by adjusting Operating profit (EBIT) for amortization of intangible assets included in PPA, non-recurring, restructuring expenses and other adjustments. </t>
    </r>
  </si>
  <si>
    <r>
      <rPr>
        <sz val="8"/>
        <color rgb="FFE22526"/>
        <rFont val="Arial"/>
        <family val="2"/>
      </rPr>
      <t>1</t>
    </r>
    <r>
      <rPr>
        <sz val="8"/>
        <color theme="1"/>
        <rFont val="Arial"/>
        <family val="2"/>
      </rPr>
      <t xml:space="preserve">. Adjusted EBITDA: calculated by adjusting EBITDA for non-recurring, restructuring expenses and other adjustments. </t>
    </r>
  </si>
  <si>
    <r>
      <rPr>
        <sz val="8"/>
        <color rgb="FFE22526"/>
        <rFont val="Arial"/>
        <family val="2"/>
      </rPr>
      <t>1</t>
    </r>
    <r>
      <rPr>
        <sz val="8"/>
        <color theme="1"/>
        <rFont val="Arial"/>
        <family val="2"/>
      </rPr>
      <t>. Adjusted EBITDA: calculated by adjusting EBITDA for non-recurring, restructuring expenses, other adjustments, the contribution to the consolidated financial statements made by Pirelli Venezuela C.A. and the contribution to the consolidated financial statements made by the Steelcord activities.</t>
    </r>
  </si>
  <si>
    <r>
      <rPr>
        <sz val="6.4"/>
        <color rgb="FFFF0000"/>
        <rFont val="Arial"/>
        <family val="2"/>
      </rPr>
      <t>2.</t>
    </r>
    <r>
      <rPr>
        <sz val="8"/>
        <color theme="1"/>
        <rFont val="Arial"/>
        <family val="2"/>
      </rPr>
      <t xml:space="preserve"> Adjusted EBITDA: calculated by adjusting EBITDA for non-recurring, restructuring expenses, other adjustments, the contribution to the consolidated financial statements made by Pirelli Venezuela C.A. and the contribution to the consolidated financial statements made by the Steelcord activities.</t>
    </r>
  </si>
  <si>
    <r>
      <rPr>
        <sz val="8"/>
        <color rgb="FFE22526"/>
        <rFont val="Arial"/>
        <family val="2"/>
      </rPr>
      <t>3</t>
    </r>
    <r>
      <rPr>
        <sz val="8"/>
        <color theme="1"/>
        <rFont val="Arial"/>
        <family val="2"/>
      </rPr>
      <t>. Adjusted EBIT: calculating by adjusting Operating profit (EBIT) for amortization of intangible assets included in PPA, non-recurring, restructuring expenses, other adjustments, the contribution to the consolidated financial statements made by Pirelli Venezuela C.A. and the contribution to the consolidated financial statements made by the Steelcord activities.</t>
    </r>
  </si>
  <si>
    <r>
      <rPr>
        <sz val="8"/>
        <color rgb="FFE22526"/>
        <rFont val="Arial"/>
        <family val="2"/>
      </rPr>
      <t>3</t>
    </r>
    <r>
      <rPr>
        <sz val="8"/>
        <color theme="1"/>
        <rFont val="Arial"/>
        <family val="2"/>
      </rPr>
      <t>. Start-up costs are related to (i) the start-up phase of programs addressing new customer requirements such as connectivity (cyber assets) and our return to the bicycles business (the Velo project), (ii) activities addressing the digital transformation of society, and (iii) work on the conversion of the Aeolus car factory acquired on October 1, 2016, from the production of Aeolus-brand products to Pirelli-brand products.</t>
    </r>
  </si>
  <si>
    <t>2Q 2018</t>
  </si>
  <si>
    <r>
      <t>Adjusted EBITDA (</t>
    </r>
    <r>
      <rPr>
        <b/>
        <sz val="10"/>
        <color rgb="FFE22526"/>
        <rFont val="Arial"/>
        <family val="2"/>
      </rPr>
      <t>1</t>
    </r>
    <r>
      <rPr>
        <b/>
        <sz val="10"/>
        <color theme="1"/>
        <rFont val="Arial"/>
        <family val="2"/>
      </rPr>
      <t>) without start-up costs (</t>
    </r>
    <r>
      <rPr>
        <b/>
        <sz val="10"/>
        <color rgb="FFE22526"/>
        <rFont val="Arial"/>
        <family val="2"/>
      </rPr>
      <t>3</t>
    </r>
    <r>
      <rPr>
        <b/>
        <sz val="10"/>
        <color theme="1"/>
        <rFont val="Arial"/>
        <family val="2"/>
      </rPr>
      <t>)</t>
    </r>
  </si>
  <si>
    <r>
      <t>Adjusted EBITDA (</t>
    </r>
    <r>
      <rPr>
        <sz val="10"/>
        <color rgb="FFE22526"/>
        <rFont val="Arial"/>
        <family val="2"/>
      </rPr>
      <t>1</t>
    </r>
    <r>
      <rPr>
        <sz val="10"/>
        <color theme="1"/>
        <rFont val="Arial"/>
        <family val="2"/>
      </rPr>
      <t>) without start-up costs (</t>
    </r>
    <r>
      <rPr>
        <sz val="10"/>
        <color rgb="FFE22526"/>
        <rFont val="Arial"/>
        <family val="2"/>
      </rPr>
      <t>3</t>
    </r>
    <r>
      <rPr>
        <sz val="10"/>
        <color theme="1"/>
        <rFont val="Arial"/>
        <family val="2"/>
      </rPr>
      <t>) margin</t>
    </r>
  </si>
  <si>
    <t>1H 2018</t>
  </si>
  <si>
    <r>
      <rPr>
        <sz val="8"/>
        <color rgb="FFE22526"/>
        <rFont val="Arial"/>
        <family val="2"/>
      </rPr>
      <t>4</t>
    </r>
    <r>
      <rPr>
        <sz val="8"/>
        <color theme="1"/>
        <rFont val="Arial"/>
        <family val="2"/>
      </rPr>
      <t>. obtained as a difference between 1H 2017 carve-out and 1Q 2017 reported; Net Income (Loss) from discontinued operations not applicable</t>
    </r>
  </si>
  <si>
    <r>
      <rPr>
        <sz val="8"/>
        <color rgb="FFE22526"/>
        <rFont val="Arial"/>
        <family val="2"/>
      </rPr>
      <t>5</t>
    </r>
    <r>
      <rPr>
        <sz val="8"/>
        <color theme="1"/>
        <rFont val="Arial"/>
        <family val="2"/>
      </rPr>
      <t>. obtained as a difference between 9M 2017 reported and 1H 2017 carve-out; Net Income (Loss) from discontinued operations not applicable</t>
    </r>
  </si>
  <si>
    <r>
      <t>reported (</t>
    </r>
    <r>
      <rPr>
        <sz val="10"/>
        <color rgb="FFE22526"/>
        <rFont val="Arial"/>
        <family val="2"/>
      </rPr>
      <t>4</t>
    </r>
    <r>
      <rPr>
        <sz val="10"/>
        <color theme="1"/>
        <rFont val="Arial"/>
        <family val="2"/>
      </rPr>
      <t>)</t>
    </r>
  </si>
  <si>
    <r>
      <t>reported (</t>
    </r>
    <r>
      <rPr>
        <sz val="10"/>
        <color rgb="FFE22526"/>
        <rFont val="Arial"/>
        <family val="2"/>
      </rPr>
      <t>5</t>
    </r>
    <r>
      <rPr>
        <sz val="10"/>
        <color theme="1"/>
        <rFont val="Arial"/>
        <family val="2"/>
      </rPr>
      <t>)</t>
    </r>
  </si>
  <si>
    <t>Derivative financial instruments included in the Net Financial Position</t>
  </si>
  <si>
    <t>Derivative financial instruments not included in the Net Financial Position</t>
  </si>
  <si>
    <t>Derivative financial instruments included in Net Financial Position</t>
  </si>
  <si>
    <t>Derivative financial instruments not included in Net Financial Position</t>
  </si>
  <si>
    <t>Depreciation &amp; Ammortization (excl. PPA)</t>
  </si>
  <si>
    <t>Change in Financial receivables / Other current financial assets at fair value through income statement - Assets held for trading</t>
  </si>
  <si>
    <t>9M 2018</t>
  </si>
  <si>
    <t>3Q 2018</t>
  </si>
  <si>
    <t>FY 2018</t>
  </si>
  <si>
    <t>4Q 2018</t>
  </si>
  <si>
    <r>
      <rPr>
        <sz val="8"/>
        <color rgb="FFE22526"/>
        <rFont val="Arial"/>
        <family val="2"/>
      </rPr>
      <t>1</t>
    </r>
    <r>
      <rPr>
        <sz val="8"/>
        <color theme="1"/>
        <rFont val="Arial"/>
        <family val="2"/>
      </rPr>
      <t>. Aeolus Car / Velo up to FY'17; for 1Q-4Q 2018: in accordance with IFRS 15 (starting from January 1st, 2018), costs incurred for sales promotion are required to be treated as variable components of consideration and therefore have the effect of reducing revenues</t>
    </r>
  </si>
  <si>
    <r>
      <t>Perimeter / Other (</t>
    </r>
    <r>
      <rPr>
        <sz val="10"/>
        <color rgb="FFE22526"/>
        <rFont val="Arial"/>
        <family val="2"/>
      </rPr>
      <t>1</t>
    </r>
    <r>
      <rPr>
        <sz val="10"/>
        <color theme="1"/>
        <rFont val="Arial"/>
        <family val="2"/>
      </rPr>
      <t>)</t>
    </r>
  </si>
  <si>
    <t>Acquisition of distribution network in Brazil - Caçula</t>
  </si>
  <si>
    <r>
      <t>F. Cash and cash equivalents at the beginning of the period (</t>
    </r>
    <r>
      <rPr>
        <sz val="10"/>
        <color rgb="FFE22526"/>
        <rFont val="Arial"/>
        <family val="2"/>
      </rPr>
      <t>2</t>
    </r>
    <r>
      <rPr>
        <sz val="10"/>
        <color theme="1"/>
        <rFont val="Arial"/>
        <family val="2"/>
      </rPr>
      <t>)</t>
    </r>
  </si>
  <si>
    <r>
      <rPr>
        <sz val="8"/>
        <color rgb="FFE22526"/>
        <rFont val="Arial"/>
        <family val="2"/>
      </rPr>
      <t>2</t>
    </r>
    <r>
      <rPr>
        <sz val="8"/>
        <color theme="1"/>
        <rFont val="Arial"/>
        <family val="2"/>
      </rPr>
      <t>. The balance of cash and cash equivalents at the beginning of the period of the cash flow for the year ended December 31, 2016 differs from the balance of cash and cash equivalents at the end of the period of the cash flow for the year ended December 31, 2015 as the former reflects the balances actually conferred / split on January 1, 2016.</t>
    </r>
  </si>
  <si>
    <r>
      <t>Adjusted EBITDA (</t>
    </r>
    <r>
      <rPr>
        <b/>
        <sz val="10"/>
        <color rgb="FFE22526"/>
        <rFont val="Arial"/>
        <family val="2"/>
      </rPr>
      <t>2</t>
    </r>
    <r>
      <rPr>
        <b/>
        <sz val="10"/>
        <color theme="1"/>
        <rFont val="Arial"/>
        <family val="2"/>
      </rPr>
      <t xml:space="preserve">) </t>
    </r>
    <r>
      <rPr>
        <b/>
        <sz val="10"/>
        <color theme="1"/>
        <rFont val="Arial"/>
        <family val="2"/>
      </rPr>
      <t>- Investments</t>
    </r>
  </si>
  <si>
    <t>High Value Regions (% on total)</t>
  </si>
  <si>
    <t>Standard Regions (% on total)</t>
  </si>
  <si>
    <t>1Q 2019</t>
  </si>
  <si>
    <t>EMEA</t>
  </si>
  <si>
    <t>North America</t>
  </si>
  <si>
    <t>N. America (% on total)</t>
  </si>
  <si>
    <t>South America</t>
  </si>
  <si>
    <t>S. America (% on total)</t>
  </si>
  <si>
    <t>Russia &amp; Nordics</t>
  </si>
  <si>
    <t>Russia &amp; Nordics (% on total)</t>
  </si>
  <si>
    <t>Cash flow for IFRS 16 leasing debts</t>
  </si>
  <si>
    <t>Net Financial Position at the end of the period (excl. IFRS 16 impact)</t>
  </si>
  <si>
    <t>Net Financial Position at the end of the period (incl. IFRS 16 impact)</t>
  </si>
  <si>
    <t>Right of use IFRS 16</t>
  </si>
  <si>
    <t>Fixed assets excl. IFRS 16</t>
  </si>
  <si>
    <t>Fixed assets incl. IFRS 16</t>
  </si>
  <si>
    <t>Net Financial Position excl. IFRS 16</t>
  </si>
  <si>
    <t>Net Financial Position incl. IFRS 16</t>
  </si>
  <si>
    <t>Tangible assets (excl. IFRS 16)</t>
  </si>
  <si>
    <t>Tangible assets</t>
  </si>
  <si>
    <r>
      <t xml:space="preserve">Adjusted Revenues by Region - </t>
    </r>
    <r>
      <rPr>
        <b/>
        <sz val="10"/>
        <color rgb="FFE22526"/>
        <rFont val="Arial"/>
        <family val="2"/>
      </rPr>
      <t>OLD PERIMETER</t>
    </r>
  </si>
  <si>
    <r>
      <t>Net Financial Position (</t>
    </r>
    <r>
      <rPr>
        <sz val="10"/>
        <color rgb="FFE22526"/>
        <rFont val="Arial"/>
        <family val="2"/>
      </rPr>
      <t>3</t>
    </r>
    <r>
      <rPr>
        <sz val="10"/>
        <color theme="1"/>
        <rFont val="Arial"/>
        <family val="2"/>
      </rPr>
      <t>)</t>
    </r>
  </si>
  <si>
    <t>Net Cash Flow (incl. IFRS 16 impact)</t>
  </si>
  <si>
    <r>
      <rPr>
        <sz val="8"/>
        <color rgb="FFE22526"/>
        <rFont val="Arial"/>
        <family val="2"/>
      </rPr>
      <t>3</t>
    </r>
    <r>
      <rPr>
        <sz val="8"/>
        <color theme="1"/>
        <rFont val="Arial"/>
        <family val="2"/>
      </rPr>
      <t>. The figures refer to the restated consolidated financial statements of Pirelli following the classification of the Industrial business data in the item "Net income (loss) from discontinued operations".</t>
    </r>
  </si>
  <si>
    <r>
      <rPr>
        <sz val="8"/>
        <color rgb="FFE22526"/>
        <rFont val="Arial"/>
        <family val="2"/>
      </rPr>
      <t>2</t>
    </r>
    <r>
      <rPr>
        <sz val="8"/>
        <color theme="1"/>
        <rFont val="Arial"/>
        <family val="2"/>
      </rPr>
      <t>. elimination of IFRS 16 impact on Adjusted EBITDA, CapEx, Working Capital and Interests</t>
    </r>
  </si>
  <si>
    <r>
      <t>IFRS 16 adjustments (</t>
    </r>
    <r>
      <rPr>
        <sz val="10"/>
        <color rgb="FFE22526"/>
        <rFont val="Arial"/>
        <family val="2"/>
      </rPr>
      <t>2</t>
    </r>
    <r>
      <rPr>
        <sz val="10"/>
        <color theme="1"/>
        <rFont val="Arial"/>
        <family val="2"/>
      </rPr>
      <t>)</t>
    </r>
  </si>
  <si>
    <t>IFRS 16 cash flow impact</t>
  </si>
  <si>
    <t>2Q 2019</t>
  </si>
  <si>
    <t>1H 2019</t>
  </si>
  <si>
    <r>
      <t>Net Income Adjusted (</t>
    </r>
    <r>
      <rPr>
        <b/>
        <sz val="10"/>
        <color rgb="FFE22526"/>
        <rFont val="Arial"/>
        <family val="2"/>
      </rPr>
      <t>6</t>
    </r>
    <r>
      <rPr>
        <b/>
        <sz val="10"/>
        <color theme="1"/>
        <rFont val="Arial"/>
        <family val="2"/>
      </rPr>
      <t>)</t>
    </r>
  </si>
  <si>
    <r>
      <t>Net Income Adjusted (</t>
    </r>
    <r>
      <rPr>
        <sz val="10"/>
        <color rgb="FFE22526"/>
        <rFont val="Arial"/>
        <family val="2"/>
      </rPr>
      <t>6</t>
    </r>
    <r>
      <rPr>
        <sz val="10"/>
        <color theme="1"/>
        <rFont val="Arial"/>
        <family val="2"/>
      </rPr>
      <t>) margin</t>
    </r>
  </si>
  <si>
    <r>
      <rPr>
        <sz val="8"/>
        <color rgb="FFE22526"/>
        <rFont val="Arial"/>
        <family val="2"/>
      </rPr>
      <t>6</t>
    </r>
    <r>
      <rPr>
        <sz val="8"/>
        <color theme="1"/>
        <rFont val="Arial"/>
        <family val="2"/>
      </rPr>
      <t>. Net Income Adjusted: calculated by adjusting Total net income (loss) for EBIT adjustments, the Venezuela deconsolidation, Net financial expenses and Tax.</t>
    </r>
  </si>
  <si>
    <t>3Q 2019</t>
  </si>
  <si>
    <t>9M 2019</t>
  </si>
  <si>
    <t>FY 2019</t>
  </si>
  <si>
    <t>4Q 2019</t>
  </si>
  <si>
    <t>Reversal of accruals and other</t>
  </si>
  <si>
    <t>Other financial assets at fair value through other comprehensive income</t>
  </si>
  <si>
    <t>Dividends / reserves received from associates</t>
  </si>
  <si>
    <t>Disposal (Acquisition) of non-controlling interests</t>
  </si>
  <si>
    <t>Disposals (Acquisition) of other non-current financial assets at fair value through income statement - Other financial assets</t>
  </si>
  <si>
    <t>Quota reimbursement of other non-current financial assets at fair value through other Comprehensive Income</t>
  </si>
  <si>
    <t>Other changes</t>
  </si>
  <si>
    <t>Derivatives financial instruments not included in Net Financial Position</t>
  </si>
  <si>
    <t>Derivatives financial instruments included in Net Financial Position</t>
  </si>
  <si>
    <t>Asset disposal / acquisition</t>
  </si>
  <si>
    <t>Increase rights of use IFRS 16</t>
  </si>
  <si>
    <t>1Q 2020</t>
  </si>
  <si>
    <r>
      <t xml:space="preserve">Adjusted Revenues by Region - </t>
    </r>
    <r>
      <rPr>
        <b/>
        <sz val="10"/>
        <color rgb="FFE22526"/>
        <rFont val="Arial"/>
        <family val="2"/>
      </rPr>
      <t>2019 PERIMETER</t>
    </r>
  </si>
  <si>
    <r>
      <t>Total Net Leverage (</t>
    </r>
    <r>
      <rPr>
        <sz val="10"/>
        <color rgb="FFE22526"/>
        <rFont val="Arial"/>
        <family val="2"/>
      </rPr>
      <t>7</t>
    </r>
    <r>
      <rPr>
        <sz val="10"/>
        <color theme="1"/>
        <rFont val="Arial"/>
        <family val="2"/>
      </rPr>
      <t>)</t>
    </r>
  </si>
  <si>
    <t>Use of provisions for employee benefit obligations and other provisions</t>
  </si>
  <si>
    <t>Investments in tangible assets</t>
  </si>
  <si>
    <t>Change in payables for investments in tangible assets</t>
  </si>
  <si>
    <t>2Q 2020</t>
  </si>
  <si>
    <t>1H 2020</t>
  </si>
  <si>
    <t>Net Income (Loss)</t>
  </si>
  <si>
    <t>3Q 2020</t>
  </si>
  <si>
    <t>9M 2020</t>
  </si>
  <si>
    <t>FY 2020</t>
  </si>
  <si>
    <t>4Q 2020</t>
  </si>
  <si>
    <r>
      <rPr>
        <sz val="8"/>
        <color rgb="FFE22526"/>
        <rFont val="Arial"/>
        <family val="2"/>
      </rPr>
      <t>3.</t>
    </r>
    <r>
      <rPr>
        <sz val="8"/>
        <color theme="1"/>
        <rFont val="Arial"/>
        <family val="2"/>
      </rPr>
      <t xml:space="preserve"> including the impact of the application of the new accounting standard IFRS 16 - Leases from 2019</t>
    </r>
  </si>
  <si>
    <t>Non-recurring, restructuring expenses and other</t>
  </si>
  <si>
    <t>Net Cash Flow before dividends, extraordinary transactions &amp; investments</t>
  </si>
  <si>
    <t>EU electric cables market cartel sanction</t>
  </si>
  <si>
    <t>Net Cash Flow before dividends &amp; convertible bond impact</t>
  </si>
  <si>
    <t>Convertible bond impact</t>
  </si>
  <si>
    <t>Other assets</t>
  </si>
  <si>
    <t>Deferred tax liabilities</t>
  </si>
  <si>
    <t>Provisions for employee benefit obligations</t>
  </si>
  <si>
    <t>Reversal of financial expenses / (income)</t>
  </si>
  <si>
    <t>Revenues drivers - Full Year figures</t>
  </si>
  <si>
    <t>Revenues drivers - Interim figures</t>
  </si>
  <si>
    <t>Change in Borrowings from banks and other financial institutions due to draw down</t>
  </si>
  <si>
    <t>Change in Borrowings from banks and other financial institutions due to repayments and other</t>
  </si>
  <si>
    <t>Dividends received</t>
  </si>
  <si>
    <t>Exchange rate / hyperinflation accounting in Argentina</t>
  </si>
  <si>
    <t>Financial income / (expenses)</t>
  </si>
  <si>
    <t>Tax income / (expenses)</t>
  </si>
  <si>
    <t>Change in other receivables</t>
  </si>
  <si>
    <t>Change in other payables</t>
  </si>
  <si>
    <t xml:space="preserve">Uses of Provisions for employee benefit obligations </t>
  </si>
  <si>
    <t>Uses of other provisions</t>
  </si>
  <si>
    <t>Disposal of tangible / intangible assets</t>
  </si>
  <si>
    <t>Disposal of owned tangible assets</t>
  </si>
  <si>
    <t>Disposal of intangible assets</t>
  </si>
  <si>
    <t>1Q 2021</t>
  </si>
  <si>
    <t>Lease liabilities</t>
  </si>
  <si>
    <t>Lease liabilities (IFRS 16)</t>
  </si>
  <si>
    <t>Repayment of principal and payment of interest for lease liabilities</t>
  </si>
  <si>
    <t>Lease liabilities at transition date</t>
  </si>
  <si>
    <t>2Q 2021</t>
  </si>
  <si>
    <t>1H 2021</t>
  </si>
  <si>
    <r>
      <rPr>
        <b/>
        <sz val="10"/>
        <color theme="1"/>
        <rFont val="Arial"/>
        <family val="2"/>
      </rPr>
      <t>2016-2021 restated / reported figures</t>
    </r>
    <r>
      <rPr>
        <sz val="10"/>
        <color theme="1"/>
        <rFont val="Arial"/>
        <family val="2"/>
      </rPr>
      <t>: include the Industrial business among the “discontinued operation”. The results for the period for the “discontinued operation” were reclassified to the Income Statement as a single item, “net income (loss) related to discontinued operations”, and includes the financial result for the first quarter of 2017 for the Industrial Business, which no longer comes under the consolidation perimeter of the Group as a result of the assignment, as well as the twelve month results for some of the residual Industrial activities currently in the process of being separated. In accordance with the relevant accounting standard, the comparable financial data for 2016 was subjected to restatement. Cash flow for 2017 and 2016 followed the same approach and includes in one single line item the cash flow of the discontinued operation.
Balance Sheet 2017 figures report in one single item named “asset held for sale” the amount of the net asset related to the residual industrial activities currently in the process of being separated. Balance sheet 2016 in accordance to relevant accounting principles has not been restated including figures related to industrial activities in one single line item.</t>
    </r>
  </si>
  <si>
    <t>Divestments / (Investments) in other financial assets at fair value through Other Comprehensive Income</t>
  </si>
  <si>
    <t>3Q 2021</t>
  </si>
  <si>
    <t>9M 2021</t>
  </si>
  <si>
    <t>Financial Income / Expenses</t>
  </si>
  <si>
    <t>4Q 2021</t>
  </si>
  <si>
    <r>
      <rPr>
        <sz val="8"/>
        <color rgb="FFE22526"/>
        <rFont val="Arial"/>
        <family val="2"/>
      </rPr>
      <t>7</t>
    </r>
    <r>
      <rPr>
        <sz val="8"/>
        <color theme="1"/>
        <rFont val="Arial"/>
        <family val="2"/>
      </rPr>
      <t>. obtained as: Net Financial Position / adj. EBITDA w/o start-up costs (until 2019); Net Financial Position / adj. EBITDA (from 2019)</t>
    </r>
  </si>
  <si>
    <t>Net taxes paid</t>
  </si>
  <si>
    <t>Loss (Acquisition) of control in subsidiaries</t>
  </si>
  <si>
    <t>Change in Financial receivables from associates and joint ventures</t>
  </si>
  <si>
    <t>FY 2021</t>
  </si>
  <si>
    <t>1Q 2022</t>
  </si>
  <si>
    <t>Reclassified balance sheet items</t>
  </si>
  <si>
    <t>IAS balance sheet items: Assets</t>
  </si>
  <si>
    <t>IAS balance sheet items: Liabilities and Equity</t>
  </si>
  <si>
    <t>Adjusted EBIT at the end of the period</t>
  </si>
  <si>
    <t>Adjusted EBIT at the beginning of the period</t>
  </si>
  <si>
    <t>2Q 2022</t>
  </si>
  <si>
    <t>1H 2022</t>
  </si>
  <si>
    <t/>
  </si>
  <si>
    <t>3Q 2022</t>
  </si>
  <si>
    <t>9M 2022</t>
  </si>
  <si>
    <t>FY 2022</t>
  </si>
  <si>
    <t>4Q 2022</t>
  </si>
  <si>
    <t>The "Pirelli in Figures" contains historical Pirelli financial figures for the years 2014-2022</t>
  </si>
  <si>
    <t>1Q 2023</t>
  </si>
  <si>
    <t>2Q 2023</t>
  </si>
  <si>
    <t>1H 2023</t>
  </si>
  <si>
    <t>Pirelli in Figures - 9M 2023</t>
  </si>
  <si>
    <r>
      <t>Latest update Nov, 9</t>
    </r>
    <r>
      <rPr>
        <vertAlign val="superscript"/>
        <sz val="10"/>
        <color theme="1"/>
        <rFont val="Arial"/>
        <family val="2"/>
      </rPr>
      <t>th</t>
    </r>
    <r>
      <rPr>
        <sz val="10"/>
        <color theme="1"/>
        <rFont val="Arial"/>
        <family val="2"/>
      </rPr>
      <t xml:space="preserve"> 2023</t>
    </r>
  </si>
  <si>
    <t>3Q 2023</t>
  </si>
  <si>
    <t>9M 2023</t>
  </si>
  <si>
    <t>9M2023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</si>
</sst>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 #,##0_-;_-* &quot;-&quot;_-;_-@_-"/>
    <numFmt numFmtId="43" formatCode="_-* #,##0.00_-;\-* #,##0.00_-;_-* &quot;-&quot;??_-;_-@_-"/>
    <numFmt numFmtId="164" formatCode="_-* #,##0.00\ _€_-;\-* #,##0.00\ _€_-;_-* &quot;-&quot;??\ _€_-;_-@_-"/>
    <numFmt numFmtId="165" formatCode="0.0%"/>
    <numFmt numFmtId="166" formatCode="#,##0.0"/>
    <numFmt numFmtId="167" formatCode="#,##0.0_);\(#,##0.0\)"/>
    <numFmt numFmtId="168" formatCode="_-* #,##0.0\ _€_-;\-* #,##0.0\ _€_-;_-* &quot;-&quot;??\ _€_-;_-@_-"/>
    <numFmt numFmtId="169" formatCode="#,##0.0_ ;\-#,##0.0\ "/>
    <numFmt numFmtId="170" formatCode="#,##0.00_);\(#,##0.00\)"/>
    <numFmt numFmtId="171" formatCode="#,##0.0000000000000"/>
    <numFmt numFmtId="172" formatCode="#,##0.000"/>
    <numFmt numFmtId="173" formatCode="#,##0.000_);\(#,##0.000\)"/>
    <numFmt numFmtId="174" formatCode="#,##0.0000000000000000"/>
    <numFmt numFmtId="175" formatCode="_(* #,##0.0_);_(* \(#,##0.0\);_(* &quot;-&quot;??_);_(@_)"/>
    <numFmt numFmtId="176" formatCode="#,##0_);\(#,##0\)"/>
    <numFmt numFmtId="177" formatCode="_(&quot;£&quot;* #,##0.00_);_(&quot;£&quot;* \(#,##0.00\);_(&quot;£&quot;* &quot;-&quot;??_);_(@_)"/>
    <numFmt numFmtId="178" formatCode="_-&quot;L.&quot;\ * #,##0_-;\-&quot;L.&quot;\ * #,##0_-;_-&quot;L.&quot;\ * &quot;-&quot;_-;_-@_-"/>
    <numFmt numFmtId="179" formatCode="_-&quot;L.&quot;\ * #,##0.00_-;\-&quot;L.&quot;\ * #,##0.00_-;_-&quot;L.&quot;\ * &quot;-&quot;??_-;_-@_-"/>
    <numFmt numFmtId="180" formatCode="_-* #,##0.0000_-;\-* #,##0.0000_-;_-* &quot;-&quot;_-;_-@_-"/>
    <numFmt numFmtId="181" formatCode="#,##0&quot;L.&quot;_);\(#,##0&quot;L.&quot;\)"/>
    <numFmt numFmtId="182" formatCode="#,##0&quot;L.&quot;_);[Red]\(#,##0&quot;L.&quot;\)"/>
    <numFmt numFmtId="183" formatCode="#,##0.00&quot;L.&quot;_);[Red]\(#,##0.00&quot;L.&quot;\)"/>
    <numFmt numFmtId="184" formatCode="General_)"/>
    <numFmt numFmtId="185" formatCode="#,##0.00_ ;[Red]\-#,##0.00;\-"/>
    <numFmt numFmtId="186" formatCode="_-* #,##0\ _€_-;\-* #,##0\ _€_-;_-* &quot;-&quot;??\ _€_-;_-@_-"/>
  </numFmts>
  <fonts count="68"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1"/>
      <color theme="1"/>
      <name val="Arial"/>
      <family val="2"/>
    </font>
    <font>
      <b/>
      <sz val="11"/>
      <name val="Arial"/>
      <family val="2"/>
    </font>
    <font>
      <sz val="10"/>
      <color indexed="8"/>
      <name val="Arial"/>
      <family val="2"/>
    </font>
    <font>
      <b/>
      <sz val="10"/>
      <color theme="1"/>
      <name val="Arial"/>
      <family val="2"/>
    </font>
    <font>
      <b/>
      <sz val="10"/>
      <color theme="4"/>
      <name val="Arial"/>
      <family val="2"/>
    </font>
    <font>
      <sz val="10"/>
      <color theme="4"/>
      <name val="Arial"/>
      <family val="2"/>
    </font>
    <font>
      <b/>
      <sz val="10"/>
      <name val="Arial"/>
      <family val="2"/>
    </font>
    <font>
      <sz val="10"/>
      <color rgb="FF00B050"/>
      <name val="Arial"/>
      <family val="2"/>
    </font>
    <font>
      <b/>
      <sz val="10"/>
      <color rgb="FF00B050"/>
      <name val="Arial"/>
      <family val="2"/>
    </font>
    <font>
      <i/>
      <sz val="10"/>
      <color theme="1"/>
      <name val="Arial"/>
      <family val="2"/>
    </font>
    <font>
      <b/>
      <sz val="20"/>
      <color theme="1"/>
      <name val="Arial"/>
      <family val="2"/>
    </font>
    <font>
      <u/>
      <sz val="11"/>
      <color theme="10"/>
      <name val="Arial"/>
      <family val="2"/>
      <scheme val="minor"/>
    </font>
    <font>
      <sz val="8"/>
      <color theme="1"/>
      <name val="Arial"/>
      <family val="2"/>
    </font>
    <font>
      <sz val="10"/>
      <color rgb="FF0070C0"/>
      <name val="Arial"/>
      <family val="2"/>
    </font>
    <font>
      <b/>
      <sz val="10"/>
      <color rgb="FF0070C0"/>
      <name val="Arial"/>
      <family val="2"/>
    </font>
    <font>
      <sz val="12"/>
      <name val="Times New Roman"/>
      <family val="1"/>
    </font>
    <font>
      <b/>
      <u/>
      <sz val="12"/>
      <color theme="1"/>
      <name val="Arial"/>
      <family val="2"/>
    </font>
    <font>
      <sz val="10"/>
      <color rgb="FFE22526"/>
      <name val="Arial"/>
      <family val="2"/>
    </font>
    <font>
      <sz val="8"/>
      <color rgb="FFE22526"/>
      <name val="Arial"/>
      <family val="2"/>
    </font>
    <font>
      <b/>
      <sz val="10"/>
      <color rgb="FFE22526"/>
      <name val="Arial"/>
      <family val="2"/>
    </font>
    <font>
      <sz val="6.4"/>
      <color rgb="FFFF0000"/>
      <name val="Arial"/>
      <family val="2"/>
    </font>
    <font>
      <b/>
      <sz val="10"/>
      <color theme="0"/>
      <name val="Arial"/>
      <family val="2"/>
    </font>
    <font>
      <sz val="10"/>
      <color theme="0"/>
      <name val="Arial"/>
      <family val="2"/>
    </font>
    <font>
      <sz val="10"/>
      <color indexed="81"/>
      <name val="Arial"/>
      <family val="2"/>
      <scheme val="major"/>
    </font>
    <font>
      <sz val="10"/>
      <color indexed="81"/>
      <name val="Arial"/>
      <family val="2"/>
    </font>
    <font>
      <i/>
      <sz val="10"/>
      <color rgb="FF00B050"/>
      <name val="Arial"/>
      <family val="2"/>
    </font>
    <font>
      <i/>
      <sz val="10"/>
      <color theme="4"/>
      <name val="Arial"/>
      <family val="2"/>
    </font>
    <font>
      <i/>
      <sz val="10"/>
      <color rgb="FF0070C0"/>
      <name val="Arial"/>
      <family val="2"/>
    </font>
    <font>
      <sz val="10"/>
      <color theme="1"/>
      <name val="Arial"/>
      <family val="2"/>
      <scheme val="minor"/>
    </font>
    <font>
      <sz val="11"/>
      <color theme="1"/>
      <name val="Arial"/>
      <family val="2"/>
    </font>
    <font>
      <u/>
      <sz val="10"/>
      <color theme="10"/>
      <name val="Arial"/>
      <family val="2"/>
    </font>
    <font>
      <b/>
      <sz val="10"/>
      <color indexed="81"/>
      <name val="Arial"/>
      <family val="2"/>
    </font>
    <font>
      <sz val="9"/>
      <color indexed="81"/>
      <name val="Tahoma"/>
      <family val="2"/>
    </font>
    <font>
      <sz val="10"/>
      <color indexed="9"/>
      <name val="Arial"/>
      <family val="2"/>
    </font>
    <font>
      <i/>
      <sz val="10"/>
      <color indexed="13"/>
      <name val="Arial"/>
      <family val="2"/>
    </font>
    <font>
      <i/>
      <sz val="10"/>
      <name val="Arial"/>
      <family val="2"/>
    </font>
    <font>
      <sz val="10"/>
      <color indexed="13"/>
      <name val="Arial"/>
      <family val="2"/>
    </font>
    <font>
      <b/>
      <i/>
      <sz val="10"/>
      <name val="Arial"/>
      <family val="2"/>
    </font>
    <font>
      <b/>
      <i/>
      <sz val="9"/>
      <name val="Arial"/>
      <family val="2"/>
    </font>
    <font>
      <b/>
      <sz val="9"/>
      <name val="Arial"/>
      <family val="2"/>
    </font>
    <font>
      <sz val="8"/>
      <name val="Arial"/>
      <family val="2"/>
    </font>
    <font>
      <b/>
      <sz val="12"/>
      <name val="Times New Roman"/>
      <family val="1"/>
    </font>
    <font>
      <sz val="9"/>
      <color indexed="18"/>
      <name val="Times New Roman"/>
      <family val="1"/>
    </font>
    <font>
      <sz val="10"/>
      <name val="Courier"/>
      <family val="3"/>
    </font>
    <font>
      <sz val="11"/>
      <color theme="1"/>
      <name val="Calibri"/>
      <family val="2"/>
    </font>
    <font>
      <vertAlign val="superscript"/>
      <sz val="10"/>
      <color theme="1"/>
      <name val="Arial"/>
      <family val="2"/>
    </font>
    <font>
      <sz val="10"/>
      <color rgb="FF0070C0"/>
      <name val="Arial"/>
      <family val="2"/>
    </font>
    <font>
      <sz val="9"/>
      <color theme="1"/>
      <name val="Arial"/>
      <family val="2"/>
      <scheme val="minor"/>
    </font>
  </fonts>
  <fills count="10">
    <fill>
      <patternFill patternType="none"/>
    </fill>
    <fill>
      <patternFill patternType="gray125"/>
    </fill>
    <fill>
      <patternFill patternType="solid">
        <fgColor rgb="FFDDDDDD"/>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27"/>
        <bgColor indexed="64"/>
      </patternFill>
    </fill>
  </fills>
  <borders count="12">
    <border>
      <left/>
      <right/>
      <top/>
      <bottom/>
      <diagonal/>
    </border>
    <border>
      <left/>
      <right/>
      <top/>
      <bottom style="medium">
        <color indexed="64"/>
      </bottom>
      <diagonal/>
    </border>
    <border>
      <left/>
      <right/>
      <top/>
      <bottom style="hair">
        <color theme="0" tint="-0.14996795556505021"/>
      </bottom>
      <diagonal/>
    </border>
    <border>
      <left/>
      <right/>
      <top style="hair">
        <color theme="0" tint="-0.14996795556505021"/>
      </top>
      <bottom style="thin">
        <color theme="0" tint="-0.499984740745262"/>
      </bottom>
      <diagonal/>
    </border>
    <border>
      <left/>
      <right/>
      <top/>
      <bottom style="thin">
        <color theme="0" tint="-0.499984740745262"/>
      </bottom>
      <diagonal/>
    </border>
    <border>
      <left/>
      <right/>
      <top style="medium">
        <color indexed="64"/>
      </top>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499984740745262"/>
      </top>
      <bottom style="thin">
        <color theme="0" tint="-0.14993743705557422"/>
      </bottom>
      <diagonal/>
    </border>
    <border>
      <left/>
      <right/>
      <top style="thin">
        <color theme="0" tint="-0.499984740745262"/>
      </top>
      <bottom/>
      <diagonal/>
    </border>
    <border>
      <left/>
      <right/>
      <top/>
      <bottom style="hair">
        <color indexed="22"/>
      </bottom>
      <diagonal/>
    </border>
    <border>
      <left/>
      <right/>
      <top/>
      <bottom style="thin">
        <color indexed="64"/>
      </bottom>
      <diagonal/>
    </border>
  </borders>
  <cellStyleXfs count="80">
    <xf numFmtId="0" fontId="0" fillId="0" borderId="0"/>
    <xf numFmtId="0" fontId="15" fillId="0" borderId="0"/>
    <xf numFmtId="0" fontId="16" fillId="0" borderId="0"/>
    <xf numFmtId="0" fontId="16" fillId="0" borderId="0"/>
    <xf numFmtId="0" fontId="16" fillId="0" borderId="0"/>
    <xf numFmtId="0" fontId="18" fillId="0" borderId="0"/>
    <xf numFmtId="0" fontId="17" fillId="0" borderId="0"/>
    <xf numFmtId="0" fontId="31" fillId="0" borderId="0" applyNumberFormat="0" applyFill="0" applyBorder="0" applyAlignment="0" applyProtection="0"/>
    <xf numFmtId="9" fontId="17" fillId="0" borderId="0" applyFont="0" applyFill="0" applyBorder="0" applyAlignment="0" applyProtection="0"/>
    <xf numFmtId="0" fontId="35" fillId="0" borderId="0"/>
    <xf numFmtId="164" fontId="17" fillId="0" borderId="0" applyFont="0" applyFill="0" applyBorder="0" applyAlignment="0" applyProtection="0"/>
    <xf numFmtId="180" fontId="16" fillId="0" borderId="0" applyFont="0" applyFill="0" applyBorder="0" applyAlignment="0" applyProtection="0"/>
    <xf numFmtId="0" fontId="16" fillId="4" borderId="0"/>
    <xf numFmtId="0" fontId="16" fillId="4" borderId="0"/>
    <xf numFmtId="0" fontId="16" fillId="4" borderId="0"/>
    <xf numFmtId="0" fontId="53" fillId="5" borderId="0"/>
    <xf numFmtId="0" fontId="26" fillId="4" borderId="0"/>
    <xf numFmtId="0" fontId="26" fillId="4" borderId="0"/>
    <xf numFmtId="0" fontId="54" fillId="6" borderId="0"/>
    <xf numFmtId="0" fontId="55" fillId="4" borderId="0"/>
    <xf numFmtId="0" fontId="55" fillId="4" borderId="0"/>
    <xf numFmtId="0" fontId="56" fillId="7" borderId="0"/>
    <xf numFmtId="0" fontId="57" fillId="4" borderId="0"/>
    <xf numFmtId="0" fontId="57" fillId="4" borderId="0"/>
    <xf numFmtId="0" fontId="58" fillId="0" borderId="0"/>
    <xf numFmtId="0" fontId="58" fillId="4" borderId="0"/>
    <xf numFmtId="0" fontId="58" fillId="4" borderId="0"/>
    <xf numFmtId="0" fontId="59" fillId="0" borderId="0"/>
    <xf numFmtId="0" fontId="59" fillId="4" borderId="0"/>
    <xf numFmtId="0" fontId="59" fillId="4" borderId="0"/>
    <xf numFmtId="0" fontId="60" fillId="0" borderId="0"/>
    <xf numFmtId="0" fontId="60" fillId="4" borderId="0"/>
    <xf numFmtId="0" fontId="60" fillId="4" borderId="0"/>
    <xf numFmtId="4" fontId="16" fillId="8" borderId="0"/>
    <xf numFmtId="185" fontId="16" fillId="8" borderId="10"/>
    <xf numFmtId="185" fontId="16" fillId="8" borderId="10"/>
    <xf numFmtId="0" fontId="55" fillId="9" borderId="0"/>
    <xf numFmtId="0" fontId="55" fillId="8" borderId="0"/>
    <xf numFmtId="0" fontId="55" fillId="8" borderId="0"/>
    <xf numFmtId="0" fontId="16" fillId="4" borderId="0"/>
    <xf numFmtId="0" fontId="16" fillId="4" borderId="0"/>
    <xf numFmtId="0" fontId="16" fillId="4" borderId="0"/>
    <xf numFmtId="0" fontId="16" fillId="4" borderId="0"/>
    <xf numFmtId="0" fontId="53" fillId="5" borderId="0"/>
    <xf numFmtId="0" fontId="26" fillId="4" borderId="0"/>
    <xf numFmtId="0" fontId="26" fillId="4" borderId="0"/>
    <xf numFmtId="0" fontId="54" fillId="6" borderId="0"/>
    <xf numFmtId="0" fontId="55" fillId="4" borderId="0"/>
    <xf numFmtId="0" fontId="55" fillId="4" borderId="0"/>
    <xf numFmtId="0" fontId="56" fillId="7" borderId="0"/>
    <xf numFmtId="0" fontId="16" fillId="4" borderId="0"/>
    <xf numFmtId="0" fontId="16" fillId="4" borderId="0"/>
    <xf numFmtId="0" fontId="58" fillId="0" borderId="0"/>
    <xf numFmtId="0" fontId="58" fillId="4" borderId="0"/>
    <xf numFmtId="0" fontId="58" fillId="4" borderId="0"/>
    <xf numFmtId="0" fontId="59" fillId="0" borderId="0"/>
    <xf numFmtId="0" fontId="59" fillId="4" borderId="0"/>
    <xf numFmtId="0" fontId="59" fillId="4" borderId="0"/>
    <xf numFmtId="0" fontId="60" fillId="0" borderId="0"/>
    <xf numFmtId="0" fontId="60" fillId="4" borderId="0"/>
    <xf numFmtId="0" fontId="60" fillId="4" borderId="0"/>
    <xf numFmtId="177" fontId="16" fillId="0" borderId="0" applyFont="0" applyFill="0" applyBorder="0" applyAlignment="0" applyProtection="0"/>
    <xf numFmtId="181" fontId="16" fillId="0" borderId="0" applyFont="0" applyFill="0" applyBorder="0" applyAlignment="0" applyProtection="0"/>
    <xf numFmtId="0" fontId="61" fillId="0" borderId="11" applyNumberFormat="0" applyFill="0" applyAlignment="0" applyProtection="0"/>
    <xf numFmtId="182" fontId="16" fillId="0" borderId="0" applyFont="0" applyFill="0" applyBorder="0" applyAlignment="0" applyProtection="0"/>
    <xf numFmtId="183" fontId="16" fillId="0" borderId="0" applyFont="0" applyFill="0" applyBorder="0" applyAlignment="0" applyProtection="0"/>
    <xf numFmtId="3" fontId="62" fillId="0" borderId="11">
      <alignment horizontal="left"/>
    </xf>
    <xf numFmtId="41" fontId="16" fillId="0" borderId="0" applyFont="0" applyFill="0" applyBorder="0" applyAlignment="0" applyProtection="0"/>
    <xf numFmtId="43" fontId="16" fillId="0" borderId="0" applyFont="0" applyFill="0" applyBorder="0" applyAlignment="0" applyProtection="0"/>
    <xf numFmtId="184" fontId="63" fillId="0" borderId="0"/>
    <xf numFmtId="9" fontId="16" fillId="0" borderId="0" applyFont="0" applyFill="0" applyBorder="0" applyAlignment="0" applyProtection="0"/>
    <xf numFmtId="0" fontId="16" fillId="4" borderId="0"/>
    <xf numFmtId="178" fontId="16" fillId="0" borderId="0" applyFont="0" applyFill="0" applyBorder="0" applyAlignment="0" applyProtection="0"/>
    <xf numFmtId="179" fontId="16" fillId="0" borderId="0" applyFont="0" applyFill="0" applyBorder="0" applyAlignment="0" applyProtection="0"/>
    <xf numFmtId="0" fontId="17" fillId="0" borderId="0"/>
    <xf numFmtId="43"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64" fillId="0" borderId="0"/>
  </cellStyleXfs>
  <cellXfs count="260">
    <xf numFmtId="0" fontId="0" fillId="0" borderId="0" xfId="0"/>
    <xf numFmtId="0" fontId="30" fillId="0" borderId="0" xfId="0" applyFont="1" applyAlignment="1">
      <alignment vertical="center"/>
    </xf>
    <xf numFmtId="0" fontId="15" fillId="0" borderId="0" xfId="0" applyFont="1" applyAlignment="1">
      <alignment vertical="center"/>
    </xf>
    <xf numFmtId="0" fontId="21"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27" fillId="0" borderId="0" xfId="0" applyFont="1" applyAlignment="1">
      <alignment horizontal="left" vertical="center"/>
    </xf>
    <xf numFmtId="0" fontId="33"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right" vertical="center"/>
    </xf>
    <xf numFmtId="0" fontId="22" fillId="0" borderId="0" xfId="0" applyFont="1" applyAlignment="1">
      <alignment horizontal="left" vertical="center"/>
    </xf>
    <xf numFmtId="0" fontId="23" fillId="0" borderId="1" xfId="0" applyFont="1" applyBorder="1" applyAlignment="1">
      <alignment vertical="center"/>
    </xf>
    <xf numFmtId="0" fontId="15" fillId="0" borderId="1" xfId="0" applyFont="1" applyBorder="1" applyAlignment="1">
      <alignment vertical="center"/>
    </xf>
    <xf numFmtId="0" fontId="23" fillId="0" borderId="1" xfId="0" applyFont="1" applyBorder="1" applyAlignment="1">
      <alignment horizontal="right" vertical="center"/>
    </xf>
    <xf numFmtId="0" fontId="15" fillId="0" borderId="6" xfId="0" applyFont="1" applyBorder="1" applyAlignment="1">
      <alignment vertical="center"/>
    </xf>
    <xf numFmtId="0" fontId="33" fillId="0" borderId="6" xfId="0" applyFont="1" applyBorder="1" applyAlignment="1">
      <alignment vertical="center"/>
    </xf>
    <xf numFmtId="165" fontId="33" fillId="0" borderId="6" xfId="0" applyNumberFormat="1" applyFont="1" applyBorder="1" applyAlignment="1">
      <alignment vertical="center"/>
    </xf>
    <xf numFmtId="0" fontId="15" fillId="0" borderId="7" xfId="0" applyFont="1" applyBorder="1" applyAlignment="1">
      <alignment horizontal="left" vertical="center"/>
    </xf>
    <xf numFmtId="0" fontId="33" fillId="0" borderId="0" xfId="0" applyFont="1" applyAlignment="1">
      <alignment vertical="center"/>
    </xf>
    <xf numFmtId="165" fontId="33" fillId="0" borderId="0" xfId="0" applyNumberFormat="1" applyFont="1" applyAlignment="1">
      <alignment vertical="center"/>
    </xf>
    <xf numFmtId="0" fontId="15" fillId="0" borderId="6" xfId="0" applyFont="1" applyBorder="1" applyAlignment="1">
      <alignment vertical="center" wrapText="1"/>
    </xf>
    <xf numFmtId="165" fontId="15" fillId="0" borderId="0" xfId="0" applyNumberFormat="1" applyFont="1" applyAlignment="1">
      <alignment vertical="center"/>
    </xf>
    <xf numFmtId="0" fontId="23" fillId="0" borderId="0" xfId="0" applyFont="1" applyAlignment="1">
      <alignment vertical="center"/>
    </xf>
    <xf numFmtId="166" fontId="15" fillId="0" borderId="6" xfId="0" applyNumberFormat="1" applyFont="1" applyBorder="1" applyAlignment="1">
      <alignment vertical="center"/>
    </xf>
    <xf numFmtId="167" fontId="33" fillId="0" borderId="6" xfId="0" applyNumberFormat="1" applyFont="1" applyBorder="1" applyAlignment="1">
      <alignment vertical="center"/>
    </xf>
    <xf numFmtId="0" fontId="29" fillId="0" borderId="7" xfId="0" applyFont="1" applyBorder="1" applyAlignment="1">
      <alignment vertical="center"/>
    </xf>
    <xf numFmtId="165" fontId="29" fillId="0" borderId="7" xfId="0" applyNumberFormat="1" applyFont="1" applyBorder="1" applyAlignment="1">
      <alignment vertical="center"/>
    </xf>
    <xf numFmtId="0" fontId="29" fillId="0" borderId="0" xfId="0" applyFont="1" applyAlignment="1">
      <alignment vertical="center"/>
    </xf>
    <xf numFmtId="167" fontId="15" fillId="0" borderId="0" xfId="0" applyNumberFormat="1" applyFont="1" applyAlignment="1">
      <alignment vertical="center"/>
    </xf>
    <xf numFmtId="0" fontId="15" fillId="0" borderId="7" xfId="0" applyFont="1" applyBorder="1" applyAlignment="1">
      <alignment horizontal="left" vertical="center" indent="1"/>
    </xf>
    <xf numFmtId="0" fontId="22" fillId="0" borderId="0" xfId="0" applyFont="1" applyAlignment="1">
      <alignment horizontal="left" vertical="center" indent="1"/>
    </xf>
    <xf numFmtId="167" fontId="27" fillId="0" borderId="6" xfId="0" applyNumberFormat="1" applyFont="1" applyBorder="1" applyAlignment="1">
      <alignment vertical="center"/>
    </xf>
    <xf numFmtId="165" fontId="27" fillId="0" borderId="6" xfId="0" applyNumberFormat="1" applyFont="1" applyBorder="1" applyAlignment="1">
      <alignment vertical="center"/>
    </xf>
    <xf numFmtId="0" fontId="15" fillId="0" borderId="6" xfId="0" applyFont="1" applyBorder="1" applyAlignment="1">
      <alignment horizontal="left" vertical="center"/>
    </xf>
    <xf numFmtId="0" fontId="23" fillId="0" borderId="4" xfId="0" applyFont="1" applyFill="1" applyBorder="1" applyAlignment="1">
      <alignment vertical="center"/>
    </xf>
    <xf numFmtId="0" fontId="15" fillId="0" borderId="6" xfId="0" applyFont="1" applyBorder="1" applyAlignment="1">
      <alignment horizontal="left" vertical="center" indent="1"/>
    </xf>
    <xf numFmtId="167" fontId="16" fillId="0" borderId="6" xfId="0" applyNumberFormat="1" applyFont="1" applyBorder="1" applyAlignment="1">
      <alignment vertical="center"/>
    </xf>
    <xf numFmtId="0" fontId="15" fillId="0" borderId="0" xfId="0" applyFont="1" applyAlignment="1">
      <alignment horizontal="right" vertical="center"/>
    </xf>
    <xf numFmtId="0" fontId="23" fillId="0" borderId="4" xfId="0" applyFont="1" applyBorder="1" applyAlignment="1">
      <alignment vertical="center"/>
    </xf>
    <xf numFmtId="167" fontId="34" fillId="0" borderId="4" xfId="0" applyNumberFormat="1" applyFont="1" applyBorder="1" applyAlignment="1">
      <alignment horizontal="right" vertical="center"/>
    </xf>
    <xf numFmtId="167" fontId="15" fillId="0" borderId="0" xfId="0" applyNumberFormat="1" applyFont="1" applyAlignment="1">
      <alignment horizontal="right" vertical="center"/>
    </xf>
    <xf numFmtId="167" fontId="33" fillId="0" borderId="6" xfId="0" applyNumberFormat="1" applyFont="1" applyBorder="1" applyAlignment="1">
      <alignment horizontal="right" vertical="center"/>
    </xf>
    <xf numFmtId="167" fontId="33" fillId="0" borderId="7" xfId="0" applyNumberFormat="1" applyFont="1" applyBorder="1" applyAlignment="1">
      <alignment horizontal="right" vertical="center"/>
    </xf>
    <xf numFmtId="165" fontId="16" fillId="0" borderId="6" xfId="0" applyNumberFormat="1" applyFont="1" applyBorder="1" applyAlignment="1">
      <alignment horizontal="right" vertical="center"/>
    </xf>
    <xf numFmtId="167" fontId="26" fillId="0" borderId="4" xfId="0" applyNumberFormat="1" applyFont="1" applyBorder="1" applyAlignment="1">
      <alignment horizontal="right" vertical="center"/>
    </xf>
    <xf numFmtId="0" fontId="15" fillId="0" borderId="8" xfId="0" applyFont="1" applyBorder="1" applyAlignment="1">
      <alignment horizontal="left" vertical="center"/>
    </xf>
    <xf numFmtId="165" fontId="16" fillId="0" borderId="8" xfId="0" applyNumberFormat="1" applyFont="1" applyBorder="1" applyAlignment="1">
      <alignment horizontal="right" vertical="center"/>
    </xf>
    <xf numFmtId="167" fontId="23" fillId="0" borderId="4" xfId="0" applyNumberFormat="1" applyFont="1" applyBorder="1" applyAlignment="1">
      <alignment horizontal="right" vertical="center"/>
    </xf>
    <xf numFmtId="167" fontId="33" fillId="0" borderId="8" xfId="0" applyNumberFormat="1" applyFont="1" applyBorder="1" applyAlignment="1">
      <alignment horizontal="right" vertical="center"/>
    </xf>
    <xf numFmtId="165" fontId="16" fillId="0" borderId="7" xfId="0" applyNumberFormat="1" applyFont="1" applyBorder="1" applyAlignment="1">
      <alignment horizontal="right" vertical="center"/>
    </xf>
    <xf numFmtId="167" fontId="15" fillId="0" borderId="6" xfId="0" applyNumberFormat="1" applyFont="1" applyBorder="1" applyAlignment="1">
      <alignment horizontal="right" vertical="center"/>
    </xf>
    <xf numFmtId="167" fontId="15" fillId="0" borderId="7" xfId="0" applyNumberFormat="1" applyFont="1" applyBorder="1" applyAlignment="1">
      <alignment horizontal="right" vertical="center"/>
    </xf>
    <xf numFmtId="167" fontId="27" fillId="0" borderId="6" xfId="0" applyNumberFormat="1" applyFont="1" applyBorder="1" applyAlignment="1">
      <alignment horizontal="right" vertical="center"/>
    </xf>
    <xf numFmtId="0" fontId="15" fillId="0" borderId="8" xfId="0" applyFont="1" applyBorder="1" applyAlignment="1">
      <alignment vertical="center"/>
    </xf>
    <xf numFmtId="9" fontId="16" fillId="0" borderId="8" xfId="0" applyNumberFormat="1" applyFont="1" applyBorder="1" applyAlignment="1">
      <alignment horizontal="right" vertical="center"/>
    </xf>
    <xf numFmtId="0" fontId="15" fillId="0" borderId="0" xfId="0" applyFont="1" applyBorder="1" applyAlignment="1">
      <alignment vertical="center"/>
    </xf>
    <xf numFmtId="167" fontId="15" fillId="0" borderId="0" xfId="0" applyNumberFormat="1" applyFont="1" applyBorder="1" applyAlignment="1">
      <alignment horizontal="right" vertical="center"/>
    </xf>
    <xf numFmtId="167" fontId="28" fillId="0" borderId="4" xfId="0" applyNumberFormat="1" applyFont="1" applyBorder="1" applyAlignment="1">
      <alignment horizontal="right" vertical="center"/>
    </xf>
    <xf numFmtId="167" fontId="15" fillId="0" borderId="8" xfId="0" applyNumberFormat="1" applyFont="1" applyBorder="1" applyAlignment="1">
      <alignment horizontal="right" vertical="center"/>
    </xf>
    <xf numFmtId="0" fontId="32" fillId="0" borderId="0" xfId="0" applyFont="1" applyAlignment="1">
      <alignment vertical="center"/>
    </xf>
    <xf numFmtId="0" fontId="15" fillId="0" borderId="8" xfId="0" applyFont="1" applyBorder="1" applyAlignment="1">
      <alignment horizontal="left" vertical="center" indent="1"/>
    </xf>
    <xf numFmtId="0" fontId="15" fillId="0" borderId="7" xfId="0" applyFont="1" applyBorder="1" applyAlignment="1">
      <alignment horizontal="left" vertical="center" indent="2"/>
    </xf>
    <xf numFmtId="0" fontId="15" fillId="0" borderId="6" xfId="0" applyFont="1" applyBorder="1" applyAlignment="1">
      <alignment horizontal="left" vertical="center" indent="2"/>
    </xf>
    <xf numFmtId="167" fontId="34" fillId="0" borderId="4" xfId="0" applyNumberFormat="1" applyFont="1" applyFill="1" applyBorder="1" applyAlignment="1">
      <alignment horizontal="right" vertical="center"/>
    </xf>
    <xf numFmtId="167" fontId="25" fillId="0" borderId="0" xfId="0" applyNumberFormat="1" applyFont="1" applyAlignment="1">
      <alignment horizontal="right" vertical="center"/>
    </xf>
    <xf numFmtId="167" fontId="25" fillId="0" borderId="6" xfId="0" applyNumberFormat="1" applyFont="1" applyBorder="1" applyAlignment="1">
      <alignment horizontal="right" vertical="center"/>
    </xf>
    <xf numFmtId="167" fontId="33" fillId="0" borderId="8" xfId="0" applyNumberFormat="1" applyFont="1" applyFill="1" applyBorder="1" applyAlignment="1">
      <alignment horizontal="right" vertical="center"/>
    </xf>
    <xf numFmtId="167" fontId="33" fillId="0" borderId="7" xfId="0" applyNumberFormat="1" applyFont="1" applyFill="1" applyBorder="1" applyAlignment="1">
      <alignment horizontal="right" vertical="center"/>
    </xf>
    <xf numFmtId="167" fontId="25" fillId="0" borderId="7" xfId="0" applyNumberFormat="1" applyFont="1" applyBorder="1" applyAlignment="1">
      <alignment horizontal="right" vertical="center"/>
    </xf>
    <xf numFmtId="167" fontId="25" fillId="0" borderId="8" xfId="0" applyNumberFormat="1" applyFont="1" applyBorder="1" applyAlignment="1">
      <alignment horizontal="right" vertical="center"/>
    </xf>
    <xf numFmtId="0" fontId="25" fillId="0" borderId="0" xfId="0" applyFont="1" applyAlignment="1">
      <alignment horizontal="right" vertical="center"/>
    </xf>
    <xf numFmtId="167" fontId="28" fillId="0" borderId="4" xfId="0" applyNumberFormat="1" applyFont="1" applyFill="1" applyBorder="1" applyAlignment="1">
      <alignment horizontal="right" vertical="center"/>
    </xf>
    <xf numFmtId="167" fontId="27" fillId="0" borderId="8" xfId="0" applyNumberFormat="1" applyFont="1" applyFill="1" applyBorder="1" applyAlignment="1">
      <alignment horizontal="right" vertical="center"/>
    </xf>
    <xf numFmtId="167" fontId="27" fillId="0" borderId="7" xfId="0" applyNumberFormat="1" applyFont="1" applyFill="1" applyBorder="1" applyAlignment="1">
      <alignment horizontal="right" vertical="center"/>
    </xf>
    <xf numFmtId="167" fontId="27" fillId="0" borderId="7" xfId="0" applyNumberFormat="1" applyFont="1" applyBorder="1" applyAlignment="1">
      <alignment horizontal="right" vertical="center"/>
    </xf>
    <xf numFmtId="167" fontId="27" fillId="0" borderId="8" xfId="0" applyNumberFormat="1" applyFont="1" applyBorder="1" applyAlignment="1">
      <alignment horizontal="right" vertical="center"/>
    </xf>
    <xf numFmtId="167" fontId="26" fillId="0" borderId="4" xfId="0" applyNumberFormat="1" applyFont="1" applyFill="1" applyBorder="1" applyAlignment="1">
      <alignment horizontal="right" vertical="center"/>
    </xf>
    <xf numFmtId="167" fontId="16" fillId="0" borderId="6" xfId="0" applyNumberFormat="1" applyFont="1" applyBorder="1" applyAlignment="1">
      <alignment horizontal="right" vertical="center"/>
    </xf>
    <xf numFmtId="167" fontId="16" fillId="0" borderId="8" xfId="0" applyNumberFormat="1" applyFont="1" applyFill="1" applyBorder="1" applyAlignment="1">
      <alignment horizontal="right" vertical="center"/>
    </xf>
    <xf numFmtId="167" fontId="16" fillId="0" borderId="7" xfId="0" applyNumberFormat="1" applyFont="1" applyFill="1" applyBorder="1" applyAlignment="1">
      <alignment horizontal="right" vertical="center"/>
    </xf>
    <xf numFmtId="167" fontId="16" fillId="0" borderId="7" xfId="0" applyNumberFormat="1" applyFont="1" applyBorder="1" applyAlignment="1">
      <alignment horizontal="right" vertical="center"/>
    </xf>
    <xf numFmtId="167" fontId="16" fillId="0" borderId="6" xfId="0" applyNumberFormat="1" applyFont="1" applyFill="1" applyBorder="1" applyAlignment="1">
      <alignment horizontal="right" vertical="center"/>
    </xf>
    <xf numFmtId="167" fontId="16" fillId="0" borderId="8" xfId="0" applyNumberFormat="1" applyFont="1" applyBorder="1" applyAlignment="1">
      <alignment horizontal="right" vertical="center"/>
    </xf>
    <xf numFmtId="0" fontId="15" fillId="0" borderId="7" xfId="0" applyFont="1" applyFill="1" applyBorder="1" applyAlignment="1">
      <alignment horizontal="left" vertical="center"/>
    </xf>
    <xf numFmtId="167" fontId="16" fillId="0" borderId="2" xfId="0" applyNumberFormat="1" applyFont="1" applyFill="1" applyBorder="1" applyAlignment="1">
      <alignment horizontal="right" vertical="center"/>
    </xf>
    <xf numFmtId="167" fontId="25" fillId="0" borderId="7" xfId="0" applyNumberFormat="1" applyFont="1" applyFill="1" applyBorder="1" applyAlignment="1">
      <alignment horizontal="right" vertical="center"/>
    </xf>
    <xf numFmtId="167" fontId="33" fillId="0" borderId="6" xfId="0" applyNumberFormat="1" applyFont="1" applyFill="1" applyBorder="1" applyAlignment="1">
      <alignment horizontal="right" vertical="center"/>
    </xf>
    <xf numFmtId="0" fontId="23" fillId="0" borderId="7" xfId="0" applyFont="1" applyBorder="1" applyAlignment="1">
      <alignment horizontal="left" vertical="center"/>
    </xf>
    <xf numFmtId="167" fontId="23" fillId="0" borderId="7" xfId="0" applyNumberFormat="1" applyFont="1" applyBorder="1" applyAlignment="1">
      <alignment horizontal="right" vertical="center"/>
    </xf>
    <xf numFmtId="0" fontId="15" fillId="0" borderId="7" xfId="0" applyFont="1" applyBorder="1" applyAlignment="1">
      <alignment horizontal="left" vertical="center" indent="3"/>
    </xf>
    <xf numFmtId="0" fontId="15" fillId="0" borderId="2" xfId="0" applyFont="1" applyBorder="1" applyAlignment="1">
      <alignment horizontal="left" vertical="center" indent="2"/>
    </xf>
    <xf numFmtId="0" fontId="23" fillId="0" borderId="7" xfId="0" applyFont="1" applyBorder="1" applyAlignment="1">
      <alignment horizontal="left" vertical="center" indent="1"/>
    </xf>
    <xf numFmtId="166" fontId="15" fillId="0" borderId="6" xfId="0" applyNumberFormat="1" applyFont="1" applyBorder="1" applyAlignment="1">
      <alignment horizontal="left" vertical="center"/>
    </xf>
    <xf numFmtId="0" fontId="15" fillId="0" borderId="5" xfId="0" applyFont="1" applyBorder="1" applyAlignment="1">
      <alignment vertical="center"/>
    </xf>
    <xf numFmtId="167" fontId="23" fillId="0" borderId="7" xfId="0" applyNumberFormat="1" applyFont="1" applyFill="1" applyBorder="1" applyAlignment="1">
      <alignment horizontal="right" vertical="center"/>
    </xf>
    <xf numFmtId="0" fontId="15" fillId="0" borderId="9" xfId="0" applyFont="1" applyBorder="1" applyAlignment="1">
      <alignment vertical="center"/>
    </xf>
    <xf numFmtId="167" fontId="15" fillId="0" borderId="9" xfId="0" applyNumberFormat="1" applyFont="1" applyBorder="1" applyAlignment="1">
      <alignment horizontal="right" vertical="center"/>
    </xf>
    <xf numFmtId="0" fontId="23" fillId="2" borderId="0" xfId="0" applyFont="1" applyFill="1" applyAlignment="1">
      <alignment vertical="center"/>
    </xf>
    <xf numFmtId="166" fontId="23" fillId="2" borderId="0" xfId="0" applyNumberFormat="1" applyFont="1" applyFill="1" applyAlignment="1">
      <alignment vertical="center"/>
    </xf>
    <xf numFmtId="0" fontId="23" fillId="2" borderId="4" xfId="0" applyFont="1" applyFill="1" applyBorder="1" applyAlignment="1">
      <alignment vertical="center"/>
    </xf>
    <xf numFmtId="167" fontId="23" fillId="2" borderId="4" xfId="0" applyNumberFormat="1" applyFont="1" applyFill="1" applyBorder="1" applyAlignment="1">
      <alignment horizontal="right" vertical="center"/>
    </xf>
    <xf numFmtId="167" fontId="34" fillId="2" borderId="4" xfId="0" applyNumberFormat="1" applyFont="1" applyFill="1" applyBorder="1" applyAlignment="1">
      <alignment horizontal="right" vertical="center"/>
    </xf>
    <xf numFmtId="167" fontId="26" fillId="2" borderId="4" xfId="0" applyNumberFormat="1" applyFont="1" applyFill="1" applyBorder="1" applyAlignment="1">
      <alignment horizontal="right" vertical="center"/>
    </xf>
    <xf numFmtId="167" fontId="28" fillId="2" borderId="4" xfId="0" applyNumberFormat="1" applyFont="1" applyFill="1" applyBorder="1" applyAlignment="1">
      <alignment horizontal="right" vertical="center"/>
    </xf>
    <xf numFmtId="0" fontId="26" fillId="2" borderId="4" xfId="0" applyFont="1" applyFill="1" applyBorder="1" applyAlignment="1">
      <alignment vertical="center"/>
    </xf>
    <xf numFmtId="165" fontId="26" fillId="2" borderId="4" xfId="0" applyNumberFormat="1" applyFont="1" applyFill="1" applyBorder="1" applyAlignment="1">
      <alignment vertical="center"/>
    </xf>
    <xf numFmtId="167" fontId="23" fillId="2" borderId="4" xfId="0" applyNumberFormat="1" applyFont="1" applyFill="1" applyBorder="1" applyAlignment="1">
      <alignment vertical="center"/>
    </xf>
    <xf numFmtId="0" fontId="23" fillId="2" borderId="3" xfId="0" applyFont="1" applyFill="1" applyBorder="1" applyAlignment="1">
      <alignment vertical="center"/>
    </xf>
    <xf numFmtId="167" fontId="23" fillId="2" borderId="3" xfId="0" applyNumberFormat="1" applyFont="1" applyFill="1" applyBorder="1" applyAlignment="1">
      <alignment horizontal="right" vertical="center"/>
    </xf>
    <xf numFmtId="0" fontId="15" fillId="0" borderId="9" xfId="0" applyFont="1" applyBorder="1" applyAlignment="1">
      <alignment horizontal="left" vertical="center" indent="1"/>
    </xf>
    <xf numFmtId="167" fontId="25" fillId="0" borderId="9" xfId="0" applyNumberFormat="1" applyFont="1" applyBorder="1" applyAlignment="1">
      <alignment horizontal="right" vertical="center"/>
    </xf>
    <xf numFmtId="167" fontId="27" fillId="0" borderId="9" xfId="0" applyNumberFormat="1" applyFont="1" applyBorder="1" applyAlignment="1">
      <alignment horizontal="right" vertical="center"/>
    </xf>
    <xf numFmtId="0" fontId="15" fillId="0" borderId="9" xfId="0" applyFont="1" applyBorder="1" applyAlignment="1">
      <alignment horizontal="left" vertical="center"/>
    </xf>
    <xf numFmtId="167" fontId="33" fillId="0" borderId="6" xfId="0" quotePrefix="1" applyNumberFormat="1" applyFont="1" applyBorder="1" applyAlignment="1">
      <alignment horizontal="right" vertical="center"/>
    </xf>
    <xf numFmtId="0" fontId="23" fillId="0" borderId="0" xfId="0" applyFont="1" applyFill="1" applyAlignment="1">
      <alignment vertical="center"/>
    </xf>
    <xf numFmtId="167" fontId="27" fillId="0" borderId="6" xfId="0" applyNumberFormat="1" applyFont="1" applyFill="1" applyBorder="1" applyAlignment="1">
      <alignment horizontal="right" vertical="center"/>
    </xf>
    <xf numFmtId="0" fontId="15" fillId="0" borderId="0" xfId="0" applyFont="1" applyBorder="1" applyAlignment="1">
      <alignment horizontal="right" vertical="center"/>
    </xf>
    <xf numFmtId="0" fontId="15" fillId="0" borderId="7" xfId="0" applyFont="1" applyFill="1" applyBorder="1" applyAlignment="1">
      <alignment horizontal="left" vertical="center" indent="2"/>
    </xf>
    <xf numFmtId="167" fontId="23" fillId="0" borderId="4" xfId="0" applyNumberFormat="1" applyFont="1" applyFill="1" applyBorder="1" applyAlignment="1">
      <alignment horizontal="right" vertical="center"/>
    </xf>
    <xf numFmtId="167" fontId="15" fillId="0" borderId="0" xfId="0" applyNumberFormat="1" applyFont="1" applyFill="1" applyAlignment="1">
      <alignment horizontal="right" vertical="center"/>
    </xf>
    <xf numFmtId="0" fontId="23" fillId="0" borderId="6" xfId="0" applyFont="1" applyBorder="1" applyAlignment="1">
      <alignment vertical="center"/>
    </xf>
    <xf numFmtId="167" fontId="15" fillId="0" borderId="7" xfId="0" applyNumberFormat="1" applyFont="1" applyFill="1" applyBorder="1" applyAlignment="1">
      <alignment horizontal="right" vertical="center"/>
    </xf>
    <xf numFmtId="0" fontId="23" fillId="2" borderId="4" xfId="0" applyFont="1" applyFill="1" applyBorder="1" applyAlignment="1">
      <alignment horizontal="left" vertical="center"/>
    </xf>
    <xf numFmtId="167" fontId="24" fillId="2" borderId="4" xfId="0" applyNumberFormat="1" applyFont="1" applyFill="1" applyBorder="1" applyAlignment="1">
      <alignment horizontal="right" vertical="center"/>
    </xf>
    <xf numFmtId="0" fontId="23" fillId="0" borderId="6" xfId="0" applyFont="1" applyBorder="1" applyAlignment="1">
      <alignment horizontal="left" vertical="center"/>
    </xf>
    <xf numFmtId="167" fontId="28" fillId="0" borderId="6" xfId="0" applyNumberFormat="1" applyFont="1" applyBorder="1" applyAlignment="1">
      <alignment horizontal="right" vertical="center"/>
    </xf>
    <xf numFmtId="0" fontId="23" fillId="0" borderId="4" xfId="0" applyFont="1" applyFill="1" applyBorder="1" applyAlignment="1">
      <alignment horizontal="left" vertical="center"/>
    </xf>
    <xf numFmtId="0" fontId="23" fillId="0" borderId="6" xfId="0" applyFont="1" applyBorder="1" applyAlignment="1">
      <alignment horizontal="left" vertical="center" indent="3"/>
    </xf>
    <xf numFmtId="0" fontId="23" fillId="0" borderId="7" xfId="0" applyFont="1" applyBorder="1" applyAlignment="1">
      <alignment horizontal="left" vertical="center" indent="2"/>
    </xf>
    <xf numFmtId="0" fontId="14" fillId="0" borderId="0" xfId="0" applyFont="1" applyAlignment="1">
      <alignment horizontal="right" vertical="center"/>
    </xf>
    <xf numFmtId="0" fontId="14" fillId="0" borderId="0" xfId="0" applyFont="1" applyAlignment="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indent="2"/>
    </xf>
    <xf numFmtId="0" fontId="14" fillId="0" borderId="7" xfId="0" applyFont="1" applyBorder="1" applyAlignment="1">
      <alignment horizontal="left" vertical="center"/>
    </xf>
    <xf numFmtId="0" fontId="14" fillId="0" borderId="7" xfId="0" applyFont="1" applyBorder="1" applyAlignment="1">
      <alignment horizontal="left" vertical="center" indent="1"/>
    </xf>
    <xf numFmtId="167" fontId="14" fillId="0" borderId="0" xfId="0" applyNumberFormat="1" applyFont="1" applyFill="1" applyAlignment="1">
      <alignment horizontal="right" vertical="center"/>
    </xf>
    <xf numFmtId="167" fontId="14" fillId="0" borderId="6" xfId="0" applyNumberFormat="1" applyFont="1" applyFill="1" applyBorder="1" applyAlignment="1">
      <alignment horizontal="right" vertical="center"/>
    </xf>
    <xf numFmtId="167" fontId="14" fillId="0" borderId="7" xfId="0" applyNumberFormat="1" applyFont="1" applyFill="1" applyBorder="1" applyAlignment="1">
      <alignment horizontal="right" vertical="center"/>
    </xf>
    <xf numFmtId="0" fontId="14" fillId="0" borderId="7" xfId="0" applyFont="1" applyBorder="1" applyAlignment="1">
      <alignment horizontal="left" vertical="center" indent="3"/>
    </xf>
    <xf numFmtId="0" fontId="14" fillId="0" borderId="0" xfId="0" applyFont="1" applyBorder="1" applyAlignment="1">
      <alignment vertical="center"/>
    </xf>
    <xf numFmtId="167" fontId="14" fillId="0" borderId="0" xfId="0" applyNumberFormat="1" applyFont="1" applyBorder="1" applyAlignment="1">
      <alignment horizontal="right" vertical="center"/>
    </xf>
    <xf numFmtId="0" fontId="14" fillId="0" borderId="6" xfId="0" applyFont="1" applyBorder="1" applyAlignment="1">
      <alignment horizontal="left" vertical="center" indent="1"/>
    </xf>
    <xf numFmtId="167" fontId="15" fillId="0" borderId="6" xfId="0" applyNumberFormat="1" applyFont="1" applyBorder="1" applyAlignment="1">
      <alignment horizontal="left" vertical="center"/>
    </xf>
    <xf numFmtId="167" fontId="15" fillId="0" borderId="7" xfId="0" applyNumberFormat="1" applyFont="1" applyBorder="1" applyAlignment="1">
      <alignment horizontal="left" vertical="center"/>
    </xf>
    <xf numFmtId="167" fontId="15" fillId="0" borderId="7" xfId="0" applyNumberFormat="1" applyFont="1" applyBorder="1" applyAlignment="1">
      <alignment vertical="center"/>
    </xf>
    <xf numFmtId="167" fontId="23" fillId="0" borderId="4" xfId="0" applyNumberFormat="1" applyFont="1" applyBorder="1" applyAlignment="1">
      <alignment vertical="center"/>
    </xf>
    <xf numFmtId="167" fontId="23" fillId="0" borderId="6" xfId="0" applyNumberFormat="1" applyFont="1" applyBorder="1" applyAlignment="1">
      <alignment vertical="center"/>
    </xf>
    <xf numFmtId="0" fontId="23" fillId="0" borderId="7" xfId="0" applyFont="1" applyBorder="1" applyAlignment="1">
      <alignment vertical="center"/>
    </xf>
    <xf numFmtId="167" fontId="23" fillId="0" borderId="7" xfId="0" applyNumberFormat="1" applyFont="1" applyBorder="1" applyAlignment="1">
      <alignment vertical="center"/>
    </xf>
    <xf numFmtId="167" fontId="23" fillId="2" borderId="4" xfId="0" applyNumberFormat="1" applyFont="1" applyFill="1" applyBorder="1" applyAlignment="1">
      <alignment horizontal="left" vertical="center"/>
    </xf>
    <xf numFmtId="167" fontId="23" fillId="0" borderId="6" xfId="0" applyNumberFormat="1" applyFont="1" applyBorder="1" applyAlignment="1">
      <alignment horizontal="left" vertical="center"/>
    </xf>
    <xf numFmtId="167" fontId="28" fillId="0" borderId="6" xfId="0" applyNumberFormat="1" applyFont="1" applyFill="1" applyBorder="1" applyAlignment="1">
      <alignment horizontal="right" vertical="center"/>
    </xf>
    <xf numFmtId="167" fontId="23" fillId="0" borderId="7" xfId="0" applyNumberFormat="1" applyFont="1" applyBorder="1" applyAlignment="1">
      <alignment horizontal="left" vertical="center"/>
    </xf>
    <xf numFmtId="167" fontId="26" fillId="0" borderId="7" xfId="0" applyNumberFormat="1" applyFont="1" applyFill="1" applyBorder="1" applyAlignment="1">
      <alignment horizontal="right" vertical="center"/>
    </xf>
    <xf numFmtId="167" fontId="23" fillId="0" borderId="4" xfId="0" applyNumberFormat="1" applyFont="1" applyFill="1" applyBorder="1" applyAlignment="1">
      <alignment horizontal="left" vertical="center"/>
    </xf>
    <xf numFmtId="0" fontId="15" fillId="0" borderId="0" xfId="0" applyFont="1" applyFill="1" applyAlignment="1">
      <alignment vertical="center"/>
    </xf>
    <xf numFmtId="167" fontId="33" fillId="0" borderId="6" xfId="0" applyNumberFormat="1" applyFont="1" applyFill="1" applyBorder="1" applyAlignment="1">
      <alignment vertical="center"/>
    </xf>
    <xf numFmtId="9" fontId="33" fillId="0" borderId="9" xfId="0" applyNumberFormat="1" applyFont="1" applyBorder="1" applyAlignment="1">
      <alignment horizontal="right" vertical="center"/>
    </xf>
    <xf numFmtId="9" fontId="33" fillId="0" borderId="9" xfId="8" applyNumberFormat="1" applyFont="1" applyBorder="1" applyAlignment="1">
      <alignment horizontal="right" vertical="center"/>
    </xf>
    <xf numFmtId="0" fontId="15" fillId="0" borderId="7" xfId="0" applyFont="1" applyFill="1" applyBorder="1" applyAlignment="1">
      <alignment horizontal="left" vertical="center" indent="1"/>
    </xf>
    <xf numFmtId="0" fontId="36" fillId="0" borderId="0" xfId="0" applyFont="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8" xfId="0" applyFont="1" applyBorder="1" applyAlignment="1">
      <alignment vertical="center"/>
    </xf>
    <xf numFmtId="0" fontId="13" fillId="0" borderId="7" xfId="0" applyFont="1" applyBorder="1" applyAlignme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indent="1"/>
    </xf>
    <xf numFmtId="167" fontId="25" fillId="0" borderId="8" xfId="0" applyNumberFormat="1" applyFont="1" applyFill="1" applyBorder="1" applyAlignment="1">
      <alignment horizontal="right" vertical="center"/>
    </xf>
    <xf numFmtId="0" fontId="11" fillId="0" borderId="6" xfId="0" applyFont="1" applyBorder="1" applyAlignment="1">
      <alignment vertical="center"/>
    </xf>
    <xf numFmtId="0" fontId="10" fillId="0" borderId="8" xfId="0" applyFont="1" applyBorder="1" applyAlignment="1">
      <alignment horizontal="left" vertical="center"/>
    </xf>
    <xf numFmtId="0" fontId="23" fillId="0" borderId="1" xfId="0" applyFont="1" applyFill="1" applyBorder="1" applyAlignment="1">
      <alignment horizontal="right" vertical="center"/>
    </xf>
    <xf numFmtId="0" fontId="9" fillId="0" borderId="0" xfId="0" applyFont="1" applyAlignment="1">
      <alignment horizontal="right" vertical="center"/>
    </xf>
    <xf numFmtId="165" fontId="23" fillId="0" borderId="0" xfId="8" applyNumberFormat="1" applyFont="1" applyAlignment="1">
      <alignment vertical="center"/>
    </xf>
    <xf numFmtId="167" fontId="25" fillId="0" borderId="0" xfId="0" applyNumberFormat="1" applyFont="1" applyFill="1" applyAlignment="1">
      <alignment horizontal="right" vertical="center"/>
    </xf>
    <xf numFmtId="167" fontId="25" fillId="0" borderId="6" xfId="0" applyNumberFormat="1" applyFont="1" applyFill="1" applyBorder="1" applyAlignment="1">
      <alignment horizontal="right" vertical="center"/>
    </xf>
    <xf numFmtId="0" fontId="8" fillId="0" borderId="6" xfId="0" applyFont="1" applyBorder="1" applyAlignment="1">
      <alignment vertical="center"/>
    </xf>
    <xf numFmtId="165" fontId="15" fillId="0" borderId="0" xfId="8" applyNumberFormat="1" applyFont="1" applyAlignment="1">
      <alignment vertical="center"/>
    </xf>
    <xf numFmtId="168" fontId="23" fillId="0" borderId="0" xfId="10" applyNumberFormat="1" applyFont="1" applyAlignment="1">
      <alignment vertical="center"/>
    </xf>
    <xf numFmtId="167" fontId="34" fillId="0" borderId="6" xfId="0" applyNumberFormat="1" applyFont="1" applyFill="1" applyBorder="1" applyAlignment="1">
      <alignment horizontal="right" vertical="center"/>
    </xf>
    <xf numFmtId="165" fontId="15" fillId="0" borderId="0" xfId="8" applyNumberFormat="1" applyFont="1" applyAlignment="1">
      <alignment horizontal="right" vertical="center"/>
    </xf>
    <xf numFmtId="0" fontId="16" fillId="0" borderId="6" xfId="0" applyFont="1" applyBorder="1" applyAlignment="1">
      <alignment horizontal="left" vertical="center" indent="2"/>
    </xf>
    <xf numFmtId="0" fontId="16" fillId="0" borderId="7" xfId="0" applyFont="1" applyBorder="1" applyAlignment="1">
      <alignment horizontal="left" vertical="center" indent="2"/>
    </xf>
    <xf numFmtId="0" fontId="16" fillId="0" borderId="7" xfId="0" applyFont="1" applyBorder="1" applyAlignment="1">
      <alignment horizontal="left" vertical="center" indent="1"/>
    </xf>
    <xf numFmtId="169" fontId="14" fillId="0" borderId="0" xfId="0" applyNumberFormat="1" applyFont="1" applyFill="1" applyAlignment="1">
      <alignment vertical="center"/>
    </xf>
    <xf numFmtId="170" fontId="15" fillId="0" borderId="8" xfId="0" applyNumberFormat="1" applyFont="1" applyBorder="1" applyAlignment="1">
      <alignment horizontal="right" vertical="center"/>
    </xf>
    <xf numFmtId="0" fontId="7" fillId="0" borderId="7" xfId="0" applyFont="1" applyBorder="1" applyAlignment="1">
      <alignment horizontal="left" vertical="center" indent="1"/>
    </xf>
    <xf numFmtId="0" fontId="7" fillId="0" borderId="6" xfId="0" applyFont="1" applyBorder="1" applyAlignment="1">
      <alignment horizontal="left" vertical="center"/>
    </xf>
    <xf numFmtId="165" fontId="29" fillId="0" borderId="7" xfId="0" applyNumberFormat="1" applyFont="1" applyBorder="1" applyAlignment="1">
      <alignment horizontal="right" vertical="center"/>
    </xf>
    <xf numFmtId="165" fontId="33" fillId="0" borderId="6" xfId="0" applyNumberFormat="1" applyFont="1" applyBorder="1" applyAlignment="1">
      <alignment horizontal="right" vertical="center"/>
    </xf>
    <xf numFmtId="165" fontId="27" fillId="0" borderId="6" xfId="0" applyNumberFormat="1" applyFont="1" applyBorder="1" applyAlignment="1">
      <alignment horizontal="right" vertical="center"/>
    </xf>
    <xf numFmtId="165" fontId="33" fillId="0" borderId="7" xfId="0" applyNumberFormat="1" applyFont="1" applyBorder="1" applyAlignment="1">
      <alignment horizontal="right" vertical="center"/>
    </xf>
    <xf numFmtId="165" fontId="33" fillId="0" borderId="7" xfId="0" applyNumberFormat="1" applyFont="1" applyFill="1" applyBorder="1" applyAlignment="1">
      <alignment horizontal="right" vertical="center"/>
    </xf>
    <xf numFmtId="165" fontId="33" fillId="0" borderId="0" xfId="0" applyNumberFormat="1" applyFont="1" applyAlignment="1">
      <alignment horizontal="right" vertical="center"/>
    </xf>
    <xf numFmtId="165" fontId="15" fillId="0" borderId="0" xfId="0" applyNumberFormat="1" applyFont="1" applyAlignment="1">
      <alignment horizontal="right" vertical="center"/>
    </xf>
    <xf numFmtId="165" fontId="26" fillId="2" borderId="4" xfId="0" applyNumberFormat="1" applyFont="1" applyFill="1" applyBorder="1" applyAlignment="1">
      <alignment horizontal="right" vertical="center"/>
    </xf>
    <xf numFmtId="0" fontId="33" fillId="0" borderId="6" xfId="0" applyFont="1" applyBorder="1" applyAlignment="1">
      <alignment horizontal="right" vertical="center"/>
    </xf>
    <xf numFmtId="0" fontId="33" fillId="0" borderId="7" xfId="0" applyFont="1" applyBorder="1" applyAlignment="1">
      <alignment horizontal="right" vertical="center"/>
    </xf>
    <xf numFmtId="0" fontId="33" fillId="0" borderId="0" xfId="0" applyFont="1" applyAlignment="1">
      <alignment horizontal="right" vertical="center"/>
    </xf>
    <xf numFmtId="0" fontId="26" fillId="2" borderId="4" xfId="0" applyFont="1" applyFill="1" applyBorder="1" applyAlignment="1">
      <alignment horizontal="right" vertical="center"/>
    </xf>
    <xf numFmtId="0" fontId="41" fillId="0" borderId="1" xfId="0" applyFont="1" applyBorder="1" applyAlignment="1">
      <alignment horizontal="right" vertical="center"/>
    </xf>
    <xf numFmtId="0" fontId="42" fillId="0" borderId="0" xfId="0" applyFont="1" applyAlignment="1">
      <alignment horizontal="right" vertical="center"/>
    </xf>
    <xf numFmtId="167" fontId="15" fillId="0" borderId="0" xfId="0" applyNumberFormat="1" applyFont="1" applyBorder="1" applyAlignment="1">
      <alignment horizontal="left" vertical="center"/>
    </xf>
    <xf numFmtId="167" fontId="33" fillId="0" borderId="0" xfId="0" applyNumberFormat="1" applyFont="1" applyFill="1" applyBorder="1" applyAlignment="1">
      <alignment horizontal="right" vertical="center"/>
    </xf>
    <xf numFmtId="0" fontId="14" fillId="0" borderId="0" xfId="0" applyFont="1" applyBorder="1" applyAlignment="1">
      <alignment horizontal="left" vertical="center" indent="1"/>
    </xf>
    <xf numFmtId="0" fontId="14" fillId="0" borderId="0" xfId="0" applyFont="1" applyBorder="1" applyAlignment="1">
      <alignment horizontal="left" vertical="center"/>
    </xf>
    <xf numFmtId="167" fontId="25" fillId="0" borderId="0" xfId="0" applyNumberFormat="1" applyFont="1" applyFill="1" applyBorder="1" applyAlignment="1">
      <alignment horizontal="right" vertical="center"/>
    </xf>
    <xf numFmtId="0" fontId="15" fillId="0" borderId="6" xfId="0" applyFont="1" applyBorder="1" applyAlignment="1">
      <alignment horizontal="left" vertical="center" indent="3"/>
    </xf>
    <xf numFmtId="0" fontId="16" fillId="0" borderId="6" xfId="0" applyFont="1" applyBorder="1" applyAlignment="1">
      <alignment horizontal="left" vertical="center" indent="3"/>
    </xf>
    <xf numFmtId="0" fontId="6" fillId="0" borderId="7" xfId="0" applyFont="1" applyFill="1" applyBorder="1" applyAlignment="1">
      <alignment horizontal="left" vertical="center"/>
    </xf>
    <xf numFmtId="0" fontId="5" fillId="0" borderId="0" xfId="0" applyFont="1" applyBorder="1" applyAlignment="1">
      <alignment horizontal="left" vertical="center" indent="1"/>
    </xf>
    <xf numFmtId="167" fontId="28" fillId="2" borderId="0" xfId="0" applyNumberFormat="1" applyFont="1" applyFill="1" applyAlignment="1">
      <alignment horizontal="right" vertical="center"/>
    </xf>
    <xf numFmtId="167" fontId="16" fillId="0" borderId="0" xfId="0" applyNumberFormat="1" applyFont="1" applyAlignment="1">
      <alignment horizontal="right" vertical="center"/>
    </xf>
    <xf numFmtId="0" fontId="16" fillId="0" borderId="0" xfId="0" applyFont="1" applyAlignment="1">
      <alignment horizontal="right" vertical="center"/>
    </xf>
    <xf numFmtId="0" fontId="33" fillId="0" borderId="0" xfId="0" applyFont="1" applyFill="1" applyAlignment="1">
      <alignment horizontal="right" vertical="center"/>
    </xf>
    <xf numFmtId="0" fontId="4" fillId="0" borderId="8" xfId="0" applyFont="1" applyBorder="1" applyAlignment="1">
      <alignment horizontal="left" vertical="center"/>
    </xf>
    <xf numFmtId="171" fontId="15" fillId="0" borderId="0" xfId="0" applyNumberFormat="1" applyFont="1" applyAlignment="1">
      <alignment horizontal="right" vertical="center"/>
    </xf>
    <xf numFmtId="166" fontId="25" fillId="0" borderId="0" xfId="0" applyNumberFormat="1" applyFont="1" applyAlignment="1">
      <alignment horizontal="right" vertical="center"/>
    </xf>
    <xf numFmtId="173" fontId="15" fillId="0" borderId="7" xfId="0" applyNumberFormat="1" applyFont="1" applyBorder="1" applyAlignment="1">
      <alignment horizontal="right" vertical="center"/>
    </xf>
    <xf numFmtId="0" fontId="3" fillId="0" borderId="8" xfId="0" applyFont="1" applyBorder="1" applyAlignment="1">
      <alignment vertical="center"/>
    </xf>
    <xf numFmtId="0" fontId="14" fillId="0" borderId="7" xfId="0" applyFont="1" applyFill="1" applyBorder="1" applyAlignment="1">
      <alignment horizontal="left" vertical="center" indent="1"/>
    </xf>
    <xf numFmtId="167" fontId="33" fillId="0" borderId="0" xfId="0" applyNumberFormat="1" applyFont="1" applyBorder="1" applyAlignment="1">
      <alignment horizontal="right" vertical="center"/>
    </xf>
    <xf numFmtId="167" fontId="23" fillId="2" borderId="0" xfId="0" applyNumberFormat="1" applyFont="1" applyFill="1" applyBorder="1" applyAlignment="1">
      <alignment horizontal="right" vertical="center"/>
    </xf>
    <xf numFmtId="0" fontId="23" fillId="0" borderId="0" xfId="0" applyFont="1" applyFill="1" applyBorder="1" applyAlignment="1">
      <alignment horizontal="right" vertical="center"/>
    </xf>
    <xf numFmtId="165" fontId="29" fillId="0" borderId="0" xfId="0" applyNumberFormat="1" applyFont="1" applyBorder="1" applyAlignment="1">
      <alignment horizontal="right" vertical="center"/>
    </xf>
    <xf numFmtId="9" fontId="14" fillId="0" borderId="0" xfId="8" applyFont="1" applyAlignment="1">
      <alignment vertical="center"/>
    </xf>
    <xf numFmtId="167" fontId="33" fillId="0" borderId="0" xfId="0" applyNumberFormat="1" applyFont="1" applyFill="1" applyBorder="1" applyAlignment="1">
      <alignment horizontal="right" vertical="center"/>
    </xf>
    <xf numFmtId="174" fontId="23" fillId="0" borderId="0" xfId="0" applyNumberFormat="1" applyFont="1" applyAlignment="1">
      <alignment vertical="center"/>
    </xf>
    <xf numFmtId="167" fontId="33" fillId="0" borderId="6" xfId="0" applyNumberFormat="1" applyFont="1" applyFill="1" applyBorder="1" applyAlignment="1">
      <alignment horizontal="right" vertical="center"/>
    </xf>
    <xf numFmtId="167" fontId="27" fillId="0" borderId="6" xfId="0" applyNumberFormat="1" applyFont="1" applyFill="1" applyBorder="1" applyAlignment="1">
      <alignment horizontal="right" vertical="center"/>
    </xf>
    <xf numFmtId="0" fontId="29" fillId="0" borderId="7" xfId="0" applyFont="1" applyBorder="1" applyAlignment="1">
      <alignment horizontal="left" vertical="center" indent="3"/>
    </xf>
    <xf numFmtId="0" fontId="29" fillId="0" borderId="7" xfId="0" applyFont="1" applyBorder="1" applyAlignment="1">
      <alignment horizontal="left" vertical="center"/>
    </xf>
    <xf numFmtId="167" fontId="45" fillId="0" borderId="7" xfId="0" applyNumberFormat="1" applyFont="1" applyFill="1" applyBorder="1" applyAlignment="1">
      <alignment horizontal="right" vertical="center"/>
    </xf>
    <xf numFmtId="167" fontId="46" fillId="0" borderId="7" xfId="0" applyNumberFormat="1" applyFont="1" applyFill="1" applyBorder="1" applyAlignment="1">
      <alignment horizontal="right" vertical="center"/>
    </xf>
    <xf numFmtId="167" fontId="46" fillId="0" borderId="7" xfId="0" applyNumberFormat="1" applyFont="1" applyBorder="1" applyAlignment="1">
      <alignment horizontal="right" vertical="center"/>
    </xf>
    <xf numFmtId="167" fontId="45" fillId="0" borderId="7" xfId="0" applyNumberFormat="1" applyFont="1" applyBorder="1" applyAlignment="1">
      <alignment horizontal="right" vertical="center"/>
    </xf>
    <xf numFmtId="167" fontId="47" fillId="0" borderId="7" xfId="0" applyNumberFormat="1" applyFont="1" applyBorder="1" applyAlignment="1">
      <alignment horizontal="right" vertical="center"/>
    </xf>
    <xf numFmtId="167" fontId="47" fillId="0" borderId="7" xfId="0" applyNumberFormat="1" applyFont="1" applyFill="1" applyBorder="1" applyAlignment="1">
      <alignment horizontal="right" vertical="center"/>
    </xf>
    <xf numFmtId="172" fontId="14" fillId="0" borderId="0" xfId="0" applyNumberFormat="1" applyFont="1" applyAlignment="1">
      <alignment vertical="center"/>
    </xf>
    <xf numFmtId="165" fontId="25" fillId="0" borderId="0" xfId="8" applyNumberFormat="1" applyFont="1" applyAlignment="1">
      <alignment horizontal="right" vertical="center"/>
    </xf>
    <xf numFmtId="175" fontId="20" fillId="3" borderId="0" xfId="10" applyNumberFormat="1" applyFont="1" applyFill="1" applyBorder="1" applyAlignment="1">
      <alignment horizontal="right"/>
    </xf>
    <xf numFmtId="0" fontId="2" fillId="0" borderId="0" xfId="0" applyFont="1" applyAlignment="1">
      <alignment vertical="center"/>
    </xf>
    <xf numFmtId="0" fontId="2" fillId="0" borderId="0" xfId="0" applyFont="1" applyAlignment="1">
      <alignment horizontal="left" vertical="center"/>
    </xf>
    <xf numFmtId="0" fontId="49" fillId="0" borderId="0" xfId="0" applyFont="1"/>
    <xf numFmtId="176" fontId="33" fillId="0" borderId="6" xfId="0" applyNumberFormat="1" applyFont="1" applyFill="1" applyBorder="1" applyAlignment="1">
      <alignment horizontal="right" vertical="center"/>
    </xf>
    <xf numFmtId="0" fontId="32" fillId="0" borderId="0" xfId="0" applyFont="1" applyFill="1" applyAlignment="1">
      <alignment vertical="center"/>
    </xf>
    <xf numFmtId="0" fontId="1" fillId="0" borderId="0" xfId="0" applyFont="1" applyAlignment="1">
      <alignment vertical="center"/>
    </xf>
    <xf numFmtId="186" fontId="23" fillId="0" borderId="0" xfId="10" applyNumberFormat="1" applyFont="1" applyAlignment="1">
      <alignment vertical="center"/>
    </xf>
    <xf numFmtId="165" fontId="15" fillId="0" borderId="0" xfId="8" applyNumberFormat="1" applyFont="1" applyFill="1" applyAlignment="1">
      <alignment horizontal="right" vertical="center"/>
    </xf>
    <xf numFmtId="167" fontId="66" fillId="0" borderId="7" xfId="0" applyNumberFormat="1" applyFont="1" applyBorder="1" applyAlignment="1">
      <alignment horizontal="right" vertical="center"/>
    </xf>
    <xf numFmtId="167" fontId="66" fillId="0" borderId="6" xfId="0" applyNumberFormat="1" applyFont="1" applyFill="1" applyBorder="1" applyAlignment="1">
      <alignment vertical="center"/>
    </xf>
    <xf numFmtId="0" fontId="15" fillId="0" borderId="0" xfId="0" applyFont="1" applyFill="1" applyAlignment="1">
      <alignment horizontal="right" vertical="center"/>
    </xf>
    <xf numFmtId="170" fontId="25" fillId="0" borderId="7" xfId="0" applyNumberFormat="1" applyFont="1" applyFill="1" applyBorder="1" applyAlignment="1">
      <alignment horizontal="right" vertical="center"/>
    </xf>
    <xf numFmtId="170" fontId="33" fillId="0" borderId="6" xfId="0" applyNumberFormat="1" applyFont="1" applyFill="1" applyBorder="1" applyAlignment="1">
      <alignment horizontal="right" vertical="center"/>
    </xf>
    <xf numFmtId="167" fontId="23" fillId="0" borderId="0" xfId="0" applyNumberFormat="1" applyFont="1" applyAlignment="1">
      <alignment vertical="center"/>
    </xf>
    <xf numFmtId="0" fontId="1" fillId="0" borderId="0" xfId="0" quotePrefix="1" applyFont="1" applyFill="1" applyAlignment="1">
      <alignment vertical="center"/>
    </xf>
    <xf numFmtId="49" fontId="2" fillId="0" borderId="0" xfId="0" applyNumberFormat="1" applyFont="1" applyBorder="1" applyAlignment="1">
      <alignment horizontal="left" vertical="center" wrapText="1"/>
    </xf>
    <xf numFmtId="0" fontId="50" fillId="0" borderId="0" xfId="7" applyFont="1" applyAlignment="1">
      <alignment horizontal="left" vertical="center" indent="1"/>
    </xf>
    <xf numFmtId="0" fontId="2" fillId="0" borderId="0" xfId="0" applyFont="1" applyAlignment="1">
      <alignment horizontal="left" vertical="center" wrapText="1"/>
    </xf>
    <xf numFmtId="0" fontId="32" fillId="0" borderId="0" xfId="0" applyFont="1" applyAlignment="1">
      <alignment horizontal="left" vertical="center" wrapText="1"/>
    </xf>
  </cellXfs>
  <cellStyles count="80">
    <cellStyle name="(NEG)  0=&quot;-&quot;" xfId="11" xr:uid="{00000000-0005-0000-0000-000000000000}"/>
    <cellStyle name="_Column1" xfId="12" xr:uid="{00000000-0005-0000-0000-000001000000}"/>
    <cellStyle name="_Column1_altri debiti" xfId="13" xr:uid="{00000000-0005-0000-0000-000002000000}"/>
    <cellStyle name="_Column1_Sheet1" xfId="14" xr:uid="{00000000-0005-0000-0000-000003000000}"/>
    <cellStyle name="_Column2" xfId="15" xr:uid="{00000000-0005-0000-0000-000004000000}"/>
    <cellStyle name="_Column2_altri debiti" xfId="16" xr:uid="{00000000-0005-0000-0000-000005000000}"/>
    <cellStyle name="_Column2_Sheet1" xfId="17" xr:uid="{00000000-0005-0000-0000-000006000000}"/>
    <cellStyle name="_Column3" xfId="18" xr:uid="{00000000-0005-0000-0000-000007000000}"/>
    <cellStyle name="_Column3_altri debiti" xfId="19" xr:uid="{00000000-0005-0000-0000-000008000000}"/>
    <cellStyle name="_Column3_Sheet1" xfId="20" xr:uid="{00000000-0005-0000-0000-000009000000}"/>
    <cellStyle name="_Column4" xfId="21" xr:uid="{00000000-0005-0000-0000-00000A000000}"/>
    <cellStyle name="_Column4_altri debiti" xfId="22" xr:uid="{00000000-0005-0000-0000-00000B000000}"/>
    <cellStyle name="_Column4_Sheet1" xfId="23" xr:uid="{00000000-0005-0000-0000-00000C000000}"/>
    <cellStyle name="_Column5" xfId="24" xr:uid="{00000000-0005-0000-0000-00000D000000}"/>
    <cellStyle name="_Column5_altri debiti" xfId="25" xr:uid="{00000000-0005-0000-0000-00000E000000}"/>
    <cellStyle name="_Column5_Sheet1" xfId="26" xr:uid="{00000000-0005-0000-0000-00000F000000}"/>
    <cellStyle name="_Column6" xfId="27" xr:uid="{00000000-0005-0000-0000-000010000000}"/>
    <cellStyle name="_Column6_altri debiti" xfId="28" xr:uid="{00000000-0005-0000-0000-000011000000}"/>
    <cellStyle name="_Column6_Sheet1" xfId="29" xr:uid="{00000000-0005-0000-0000-000012000000}"/>
    <cellStyle name="_Column7" xfId="30" xr:uid="{00000000-0005-0000-0000-000013000000}"/>
    <cellStyle name="_Column7_altri debiti" xfId="31" xr:uid="{00000000-0005-0000-0000-000014000000}"/>
    <cellStyle name="_Column7_Sheet1" xfId="32" xr:uid="{00000000-0005-0000-0000-000015000000}"/>
    <cellStyle name="_Data" xfId="33" xr:uid="{00000000-0005-0000-0000-000016000000}"/>
    <cellStyle name="_Data_altri debiti" xfId="34" xr:uid="{00000000-0005-0000-0000-000017000000}"/>
    <cellStyle name="_Data_Sheet1" xfId="35" xr:uid="{00000000-0005-0000-0000-000018000000}"/>
    <cellStyle name="_Header" xfId="36" xr:uid="{00000000-0005-0000-0000-000019000000}"/>
    <cellStyle name="_Header_altri debiti" xfId="37" xr:uid="{00000000-0005-0000-0000-00001A000000}"/>
    <cellStyle name="_Header_Sheet1" xfId="38" xr:uid="{00000000-0005-0000-0000-00001B000000}"/>
    <cellStyle name="_Row1" xfId="39" xr:uid="{00000000-0005-0000-0000-00001C000000}"/>
    <cellStyle name="_Row1_altri debiti" xfId="40" xr:uid="{00000000-0005-0000-0000-00001D000000}"/>
    <cellStyle name="_Row1_S.P." xfId="41" xr:uid="{00000000-0005-0000-0000-00001E000000}"/>
    <cellStyle name="_Row1_Sheet1" xfId="42" xr:uid="{00000000-0005-0000-0000-00001F000000}"/>
    <cellStyle name="_Row2" xfId="43" xr:uid="{00000000-0005-0000-0000-000020000000}"/>
    <cellStyle name="_Row2_altri debiti" xfId="44" xr:uid="{00000000-0005-0000-0000-000021000000}"/>
    <cellStyle name="_Row2_Sheet1" xfId="45" xr:uid="{00000000-0005-0000-0000-000022000000}"/>
    <cellStyle name="_Row3" xfId="46" xr:uid="{00000000-0005-0000-0000-000023000000}"/>
    <cellStyle name="_Row3_altri debiti" xfId="47" xr:uid="{00000000-0005-0000-0000-000024000000}"/>
    <cellStyle name="_Row3_Sheet1" xfId="48" xr:uid="{00000000-0005-0000-0000-000025000000}"/>
    <cellStyle name="_Row4" xfId="49" xr:uid="{00000000-0005-0000-0000-000026000000}"/>
    <cellStyle name="_Row4_altri debiti" xfId="50" xr:uid="{00000000-0005-0000-0000-000027000000}"/>
    <cellStyle name="_Row4_Sheet1" xfId="51" xr:uid="{00000000-0005-0000-0000-000028000000}"/>
    <cellStyle name="_Row5" xfId="52" xr:uid="{00000000-0005-0000-0000-000029000000}"/>
    <cellStyle name="_Row5_altri debiti" xfId="53" xr:uid="{00000000-0005-0000-0000-00002A000000}"/>
    <cellStyle name="_Row5_Sheet1" xfId="54" xr:uid="{00000000-0005-0000-0000-00002B000000}"/>
    <cellStyle name="_Row6" xfId="55" xr:uid="{00000000-0005-0000-0000-00002C000000}"/>
    <cellStyle name="_Row6_altri debiti" xfId="56" xr:uid="{00000000-0005-0000-0000-00002D000000}"/>
    <cellStyle name="_Row6_Sheet1" xfId="57" xr:uid="{00000000-0005-0000-0000-00002E000000}"/>
    <cellStyle name="_Row7" xfId="58" xr:uid="{00000000-0005-0000-0000-00002F000000}"/>
    <cellStyle name="_Row7_altri debiti" xfId="59" xr:uid="{00000000-0005-0000-0000-000030000000}"/>
    <cellStyle name="_Row7_Sheet1" xfId="60" xr:uid="{00000000-0005-0000-0000-000031000000}"/>
    <cellStyle name="£ BP" xfId="61" xr:uid="{00000000-0005-0000-0000-000032000000}"/>
    <cellStyle name="¥ JY" xfId="62" xr:uid="{00000000-0005-0000-0000-000033000000}"/>
    <cellStyle name="Bold/Border" xfId="63" xr:uid="{00000000-0005-0000-0000-000034000000}"/>
    <cellStyle name="Bullet" xfId="64" xr:uid="{00000000-0005-0000-0000-000035000000}"/>
    <cellStyle name="Comma" xfId="10" builtinId="3"/>
    <cellStyle name="Comma 2" xfId="78" xr:uid="{00000000-0005-0000-0000-000037000000}"/>
    <cellStyle name="Comma 3" xfId="75" xr:uid="{00000000-0005-0000-0000-000038000000}"/>
    <cellStyle name="Dash" xfId="65" xr:uid="{00000000-0005-0000-0000-000039000000}"/>
    <cellStyle name="Hyperlink" xfId="7" builtinId="8"/>
    <cellStyle name="Input 2" xfId="66" xr:uid="{00000000-0005-0000-0000-00003B000000}"/>
    <cellStyle name="Migliaia (0)_Anal.Vend.Inc.Cialdini" xfId="67" xr:uid="{00000000-0005-0000-0000-00003C000000}"/>
    <cellStyle name="Migliaia_Anal.Vend.Inc.Cialdini" xfId="68" xr:uid="{00000000-0005-0000-0000-00003D000000}"/>
    <cellStyle name="Normal" xfId="0" builtinId="0"/>
    <cellStyle name="Normal 2" xfId="1" xr:uid="{00000000-0005-0000-0000-00003F000000}"/>
    <cellStyle name="Normal 2 2" xfId="3" xr:uid="{00000000-0005-0000-0000-000040000000}"/>
    <cellStyle name="Normal 3" xfId="2" xr:uid="{00000000-0005-0000-0000-000041000000}"/>
    <cellStyle name="Normal 3 2" xfId="74" xr:uid="{00000000-0005-0000-0000-000042000000}"/>
    <cellStyle name="Normal 4" xfId="6" xr:uid="{00000000-0005-0000-0000-000043000000}"/>
    <cellStyle name="Normal 4 2" xfId="76" xr:uid="{00000000-0005-0000-0000-000044000000}"/>
    <cellStyle name="Normal 4 2 2" xfId="77" xr:uid="{00000000-0005-0000-0000-000045000000}"/>
    <cellStyle name="Normal 4 3" xfId="79" xr:uid="{00000000-0005-0000-0000-000046000000}"/>
    <cellStyle name="Normal 5" xfId="5" xr:uid="{00000000-0005-0000-0000-000047000000}"/>
    <cellStyle name="Normal 6" xfId="4" xr:uid="{00000000-0005-0000-0000-000048000000}"/>
    <cellStyle name="Normal 7" xfId="9" xr:uid="{00000000-0005-0000-0000-000049000000}"/>
    <cellStyle name="Normale_31-03 30-06" xfId="69" xr:uid="{00000000-0005-0000-0000-00004A000000}"/>
    <cellStyle name="Percent" xfId="8" builtinId="5"/>
    <cellStyle name="Percentuale_cf-cv 9" xfId="70" xr:uid="{00000000-0005-0000-0000-00004C000000}"/>
    <cellStyle name="Standard_Liste" xfId="71" xr:uid="{00000000-0005-0000-0000-00004D000000}"/>
    <cellStyle name="Valuta (0)_Anal.Vend.Inc.Cialdini" xfId="72" xr:uid="{00000000-0005-0000-0000-00004E000000}"/>
    <cellStyle name="Valuta_Anal.Vend.Inc.Cialdini" xfId="73" xr:uid="{00000000-0005-0000-0000-00004F000000}"/>
  </cellStyles>
  <dxfs count="0"/>
  <tableStyles count="0" defaultTableStyle="TableStyleMedium2" defaultPivotStyle="PivotStyleLight16"/>
  <colors>
    <mruColors>
      <color rgb="FFDDDDDD"/>
      <color rgb="FFFFDD00"/>
      <color rgb="FFE22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10</xdr:col>
      <xdr:colOff>527850</xdr:colOff>
      <xdr:row>9</xdr:row>
      <xdr:rowOff>163093</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85725"/>
          <a:ext cx="6300000" cy="1648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DD00"/>
    <pageSetUpPr fitToPage="1"/>
  </sheetPr>
  <dimension ref="B4:O46"/>
  <sheetViews>
    <sheetView showGridLines="0" tabSelected="1" zoomScaleNormal="100" zoomScaleSheetLayoutView="100" workbookViewId="0"/>
  </sheetViews>
  <sheetFormatPr defaultColWidth="9" defaultRowHeight="12.75" x14ac:dyDescent="0.2"/>
  <cols>
    <col min="1" max="1" width="4.625" style="241" customWidth="1"/>
    <col min="2" max="11" width="8.625" style="241" customWidth="1"/>
    <col min="12" max="12" width="4.625" style="241" customWidth="1"/>
    <col min="13" max="13" width="8.625" style="241" customWidth="1"/>
    <col min="14" max="16384" width="9" style="241"/>
  </cols>
  <sheetData>
    <row r="4" spans="2:15" ht="14.25" x14ac:dyDescent="0.2">
      <c r="O4" s="243"/>
    </row>
    <row r="5" spans="2:15" ht="14.25" x14ac:dyDescent="0.2">
      <c r="O5" s="243"/>
    </row>
    <row r="6" spans="2:15" ht="14.25" x14ac:dyDescent="0.2">
      <c r="O6" s="243"/>
    </row>
    <row r="7" spans="2:15" ht="14.25" x14ac:dyDescent="0.2">
      <c r="O7" s="243"/>
    </row>
    <row r="8" spans="2:15" ht="14.25" x14ac:dyDescent="0.2">
      <c r="O8" s="243"/>
    </row>
    <row r="9" spans="2:15" ht="14.25" x14ac:dyDescent="0.2">
      <c r="O9" s="243"/>
    </row>
    <row r="10" spans="2:15" ht="14.25" x14ac:dyDescent="0.2">
      <c r="O10" s="243"/>
    </row>
    <row r="11" spans="2:15" ht="14.25" x14ac:dyDescent="0.2">
      <c r="O11" s="243"/>
    </row>
    <row r="12" spans="2:15" ht="14.25" x14ac:dyDescent="0.2">
      <c r="O12" s="243"/>
    </row>
    <row r="13" spans="2:15" ht="26.25" x14ac:dyDescent="0.2">
      <c r="B13" s="1" t="s">
        <v>389</v>
      </c>
      <c r="N13" s="243"/>
    </row>
    <row r="14" spans="2:15" ht="14.25" x14ac:dyDescent="0.2">
      <c r="B14" s="246" t="s">
        <v>390</v>
      </c>
      <c r="N14" s="243"/>
    </row>
    <row r="15" spans="2:15" ht="14.25" x14ac:dyDescent="0.2">
      <c r="N15" s="243"/>
    </row>
    <row r="16" spans="2:15" ht="14.25" x14ac:dyDescent="0.2">
      <c r="N16" s="243"/>
    </row>
    <row r="17" spans="2:14" ht="15" x14ac:dyDescent="0.2">
      <c r="B17" s="3" t="s">
        <v>150</v>
      </c>
      <c r="C17" s="3"/>
      <c r="D17" s="3"/>
      <c r="E17" s="3"/>
      <c r="N17" s="243"/>
    </row>
    <row r="18" spans="2:14" ht="14.25" x14ac:dyDescent="0.2">
      <c r="B18" s="257" t="s">
        <v>226</v>
      </c>
      <c r="C18" s="257"/>
      <c r="D18" s="257"/>
      <c r="E18" s="257"/>
      <c r="N18" s="243"/>
    </row>
    <row r="19" spans="2:14" ht="14.25" x14ac:dyDescent="0.2">
      <c r="B19" s="257" t="s">
        <v>227</v>
      </c>
      <c r="C19" s="257"/>
      <c r="D19" s="257"/>
      <c r="E19" s="257"/>
      <c r="N19" s="243"/>
    </row>
    <row r="20" spans="2:14" ht="14.25" x14ac:dyDescent="0.2">
      <c r="B20" s="4"/>
      <c r="N20" s="243"/>
    </row>
    <row r="21" spans="2:14" ht="15" x14ac:dyDescent="0.2">
      <c r="B21" s="3" t="s">
        <v>151</v>
      </c>
    </row>
    <row r="22" spans="2:14" x14ac:dyDescent="0.2">
      <c r="B22" s="257" t="s">
        <v>226</v>
      </c>
      <c r="C22" s="257"/>
      <c r="D22" s="257"/>
      <c r="E22" s="257"/>
    </row>
    <row r="23" spans="2:14" x14ac:dyDescent="0.2">
      <c r="B23" s="257" t="s">
        <v>227</v>
      </c>
      <c r="C23" s="257"/>
      <c r="D23" s="257"/>
      <c r="E23" s="257"/>
    </row>
    <row r="24" spans="2:14" x14ac:dyDescent="0.2">
      <c r="B24" s="4"/>
    </row>
    <row r="25" spans="2:14" ht="15" x14ac:dyDescent="0.2">
      <c r="B25" s="3" t="s">
        <v>152</v>
      </c>
    </row>
    <row r="26" spans="2:14" x14ac:dyDescent="0.2">
      <c r="B26" s="257" t="s">
        <v>226</v>
      </c>
      <c r="C26" s="257"/>
      <c r="D26" s="257"/>
      <c r="E26" s="257"/>
    </row>
    <row r="27" spans="2:14" x14ac:dyDescent="0.2">
      <c r="B27" s="257" t="s">
        <v>227</v>
      </c>
      <c r="C27" s="257"/>
      <c r="D27" s="257"/>
      <c r="E27" s="257"/>
    </row>
    <row r="28" spans="2:14" x14ac:dyDescent="0.2">
      <c r="B28" s="4"/>
    </row>
    <row r="29" spans="2:14" ht="15" x14ac:dyDescent="0.2">
      <c r="B29" s="3" t="s">
        <v>153</v>
      </c>
    </row>
    <row r="30" spans="2:14" x14ac:dyDescent="0.2">
      <c r="B30" s="257" t="s">
        <v>226</v>
      </c>
      <c r="C30" s="257"/>
      <c r="D30" s="257"/>
      <c r="E30" s="257"/>
    </row>
    <row r="31" spans="2:14" x14ac:dyDescent="0.2">
      <c r="B31" s="257" t="s">
        <v>227</v>
      </c>
      <c r="C31" s="257"/>
      <c r="D31" s="257"/>
      <c r="E31" s="257"/>
    </row>
    <row r="32" spans="2:14" x14ac:dyDescent="0.2">
      <c r="B32" s="4"/>
    </row>
    <row r="33" spans="2:12" ht="15" x14ac:dyDescent="0.2">
      <c r="B33" s="3" t="s">
        <v>154</v>
      </c>
    </row>
    <row r="34" spans="2:12" x14ac:dyDescent="0.2">
      <c r="B34" s="257" t="s">
        <v>226</v>
      </c>
      <c r="C34" s="257"/>
      <c r="D34" s="257"/>
      <c r="E34" s="257"/>
    </row>
    <row r="35" spans="2:12" x14ac:dyDescent="0.2">
      <c r="B35" s="257" t="s">
        <v>227</v>
      </c>
      <c r="C35" s="257"/>
      <c r="D35" s="257"/>
      <c r="E35" s="257"/>
    </row>
    <row r="37" spans="2:12" ht="15" x14ac:dyDescent="0.2">
      <c r="B37" s="5" t="s">
        <v>155</v>
      </c>
    </row>
    <row r="38" spans="2:12" x14ac:dyDescent="0.2">
      <c r="B38" s="7" t="s">
        <v>156</v>
      </c>
    </row>
    <row r="39" spans="2:12" x14ac:dyDescent="0.2">
      <c r="B39" s="242" t="s">
        <v>157</v>
      </c>
    </row>
    <row r="40" spans="2:12" x14ac:dyDescent="0.2">
      <c r="B40" s="6" t="s">
        <v>158</v>
      </c>
    </row>
    <row r="43" spans="2:12" ht="15.75" x14ac:dyDescent="0.2">
      <c r="B43" s="160" t="s">
        <v>188</v>
      </c>
    </row>
    <row r="44" spans="2:12" ht="25.5" customHeight="1" x14ac:dyDescent="0.2">
      <c r="B44" s="258" t="s">
        <v>385</v>
      </c>
      <c r="C44" s="258"/>
      <c r="D44" s="258"/>
      <c r="E44" s="258"/>
      <c r="F44" s="258"/>
      <c r="G44" s="258"/>
      <c r="H44" s="258"/>
      <c r="I44" s="258"/>
      <c r="J44" s="258"/>
      <c r="K44" s="258"/>
      <c r="L44" s="258"/>
    </row>
    <row r="45" spans="2:12" ht="38.25" customHeight="1" x14ac:dyDescent="0.2">
      <c r="B45" s="256" t="s">
        <v>198</v>
      </c>
      <c r="C45" s="256"/>
      <c r="D45" s="256"/>
      <c r="E45" s="256"/>
      <c r="F45" s="256"/>
      <c r="G45" s="256"/>
      <c r="H45" s="256"/>
      <c r="I45" s="256"/>
      <c r="J45" s="256"/>
      <c r="K45" s="256"/>
      <c r="L45" s="256"/>
    </row>
    <row r="46" spans="2:12" ht="153" customHeight="1" x14ac:dyDescent="0.2">
      <c r="B46" s="256" t="s">
        <v>361</v>
      </c>
      <c r="C46" s="256"/>
      <c r="D46" s="256"/>
      <c r="E46" s="256"/>
      <c r="F46" s="256"/>
      <c r="G46" s="256"/>
      <c r="H46" s="256"/>
      <c r="I46" s="256"/>
      <c r="J46" s="256"/>
      <c r="K46" s="256"/>
      <c r="L46" s="256"/>
    </row>
  </sheetData>
  <mergeCells count="13">
    <mergeCell ref="B46:L46"/>
    <mergeCell ref="B18:E18"/>
    <mergeCell ref="B19:E19"/>
    <mergeCell ref="B22:E22"/>
    <mergeCell ref="B23:E23"/>
    <mergeCell ref="B26:E26"/>
    <mergeCell ref="B27:E27"/>
    <mergeCell ref="B30:E30"/>
    <mergeCell ref="B31:E31"/>
    <mergeCell ref="B34:E34"/>
    <mergeCell ref="B35:E35"/>
    <mergeCell ref="B44:L44"/>
    <mergeCell ref="B45:L45"/>
  </mergeCells>
  <hyperlinks>
    <hyperlink ref="B18:E18" location="'Fin. Highlights - FY'!A1" display="Full year figures" xr:uid="{00000000-0004-0000-0000-000000000000}"/>
    <hyperlink ref="B19:E19" location="'Fin. Highlights - interim'!A1" display="Year-to-Date reported figures" xr:uid="{00000000-0004-0000-0000-000001000000}"/>
    <hyperlink ref="B22:E22" location="'Adj. Rev. detail - FY'!A1" display="Full year figures" xr:uid="{00000000-0004-0000-0000-000002000000}"/>
    <hyperlink ref="B23:E23" location="'Adj. Rev. detail - Interim'!A1" display="Year-to-Date reported figures" xr:uid="{00000000-0004-0000-0000-000003000000}"/>
    <hyperlink ref="B26:E26" location="'Adj. EBIT bridge - FY'!A1" display="Full year carve-out figures" xr:uid="{00000000-0004-0000-0000-000004000000}"/>
    <hyperlink ref="B27:E27" location="'Adj. EBIT bridge - Interim'!A1" display="Year-to-Date reported figures" xr:uid="{00000000-0004-0000-0000-000005000000}"/>
    <hyperlink ref="B31" location="'Balance Sheet - Interim'!A1" display="Interim figures" xr:uid="{00000000-0004-0000-0000-000006000000}"/>
    <hyperlink ref="B34" location="'Cash Flow - FY'!A1" display="Full year figures" xr:uid="{00000000-0004-0000-0000-000007000000}"/>
    <hyperlink ref="B35" location="'Cash Flow - Interim'!A1" display="Interim figures" xr:uid="{00000000-0004-0000-0000-000008000000}"/>
    <hyperlink ref="B30:E30" location="'Balance Sheet - FY'!A1" display="Full year figures" xr:uid="{00000000-0004-0000-0000-000009000000}"/>
  </hyperlinks>
  <pageMargins left="0" right="0" top="0" bottom="0" header="0" footer="0"/>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122"/>
  <sheetViews>
    <sheetView showGridLines="0" zoomScale="87" zoomScaleNormal="115" zoomScaleSheetLayoutView="100" workbookViewId="0">
      <pane xSplit="2" ySplit="6" topLeftCell="C7" activePane="bottomRight" state="frozen"/>
      <selection activeCell="L10" sqref="L10"/>
      <selection pane="topRight" activeCell="L10" sqref="L10"/>
      <selection pane="bottomLeft" activeCell="L10" sqref="L10"/>
      <selection pane="bottomRight"/>
    </sheetView>
  </sheetViews>
  <sheetFormatPr defaultColWidth="9" defaultRowHeight="12.75" outlineLevelRow="3" outlineLevelCol="1" x14ac:dyDescent="0.2"/>
  <cols>
    <col min="1" max="1" width="92.5" style="130" customWidth="1"/>
    <col min="2" max="2" width="4.625" style="130" customWidth="1"/>
    <col min="3" max="3" width="11.625" style="129" hidden="1" customWidth="1" outlineLevel="1"/>
    <col min="4" max="4" width="11.625" style="129" hidden="1" customWidth="1" outlineLevel="1" collapsed="1"/>
    <col min="5" max="6" width="11.625" style="129" hidden="1" customWidth="1" outlineLevel="1"/>
    <col min="7" max="7" width="11.625" style="129" customWidth="1" collapsed="1"/>
    <col min="8" max="12" width="11.625" style="129" customWidth="1"/>
    <col min="13" max="13" width="17.875" style="130" bestFit="1" customWidth="1"/>
    <col min="14" max="16384" width="9" style="130"/>
  </cols>
  <sheetData>
    <row r="1" spans="1:13" s="8" customFormat="1" ht="27.75" customHeight="1" x14ac:dyDescent="0.2">
      <c r="A1" s="8" t="s">
        <v>144</v>
      </c>
      <c r="C1" s="9"/>
      <c r="D1" s="9"/>
      <c r="E1" s="9"/>
      <c r="F1" s="9"/>
      <c r="G1" s="9"/>
      <c r="H1" s="9"/>
      <c r="I1" s="9"/>
      <c r="J1" s="9"/>
      <c r="K1" s="9"/>
      <c r="L1" s="9"/>
    </row>
    <row r="2" spans="1:13" x14ac:dyDescent="0.2">
      <c r="A2" s="30" t="s">
        <v>190</v>
      </c>
      <c r="B2" s="10"/>
      <c r="L2" s="130"/>
    </row>
    <row r="4" spans="1:13" ht="13.5" thickBot="1" x14ac:dyDescent="0.25">
      <c r="A4" s="11" t="s">
        <v>149</v>
      </c>
      <c r="B4" s="11"/>
      <c r="C4" s="13"/>
      <c r="D4" s="13" t="s">
        <v>25</v>
      </c>
      <c r="E4" s="13" t="s">
        <v>26</v>
      </c>
      <c r="F4" s="13" t="s">
        <v>26</v>
      </c>
      <c r="G4" s="13" t="s">
        <v>161</v>
      </c>
      <c r="H4" s="13" t="s">
        <v>261</v>
      </c>
      <c r="I4" s="13" t="s">
        <v>303</v>
      </c>
      <c r="J4" s="13" t="s">
        <v>327</v>
      </c>
      <c r="K4" s="13" t="s">
        <v>371</v>
      </c>
      <c r="L4" s="13" t="s">
        <v>383</v>
      </c>
    </row>
    <row r="5" spans="1:13" x14ac:dyDescent="0.2">
      <c r="D5" s="129" t="s">
        <v>176</v>
      </c>
      <c r="E5" s="129" t="s">
        <v>176</v>
      </c>
      <c r="F5" s="37" t="s">
        <v>189</v>
      </c>
      <c r="G5" s="129" t="s">
        <v>175</v>
      </c>
      <c r="H5" s="129" t="s">
        <v>175</v>
      </c>
      <c r="I5" s="129" t="s">
        <v>175</v>
      </c>
      <c r="J5" s="129" t="s">
        <v>175</v>
      </c>
      <c r="K5" s="129" t="s">
        <v>175</v>
      </c>
      <c r="L5" s="129" t="s">
        <v>175</v>
      </c>
    </row>
    <row r="7" spans="1:13" x14ac:dyDescent="0.2">
      <c r="A7" s="186" t="s">
        <v>231</v>
      </c>
      <c r="B7" s="133"/>
      <c r="C7" s="74"/>
      <c r="D7" s="74">
        <f>ROUND('Fin. Highlights - FY'!D14,1)</f>
        <v>1021.4</v>
      </c>
      <c r="E7" s="74">
        <f>ROUND('Fin. Highlights - FY'!E14,1)</f>
        <v>1082.3</v>
      </c>
      <c r="F7" s="74">
        <f>ROUND('Fin. Highlights - FY'!F14,1)</f>
        <v>1082.3</v>
      </c>
      <c r="G7" s="74">
        <f>ROUND('Fin. Highlights - FY'!G14,1)</f>
        <v>1137.7</v>
      </c>
      <c r="H7" s="74">
        <f>ROUND('Fin. Highlights - FY'!H14,1)</f>
        <v>1234.7</v>
      </c>
      <c r="I7" s="74">
        <f>ROUND('Fin. Highlights - FY'!I14-0.05,1)</f>
        <v>1310</v>
      </c>
      <c r="J7" s="73">
        <f>ROUND('Fin. Highlights - FY'!J14,2)</f>
        <v>892.63</v>
      </c>
      <c r="K7" s="73">
        <f>IFERROR(ROUND('Fin. Highlights - FY'!K14,2),"n.a.")</f>
        <v>1210.72</v>
      </c>
      <c r="L7" s="73">
        <f>IFERROR('Fin. Highlights - FY'!L14,"n.a.")-0.03</f>
        <v>1408.316</v>
      </c>
    </row>
    <row r="8" spans="1:13" x14ac:dyDescent="0.2">
      <c r="A8" s="134" t="s">
        <v>35</v>
      </c>
      <c r="B8" s="133"/>
      <c r="C8" s="74"/>
      <c r="D8" s="67">
        <v>-349.5</v>
      </c>
      <c r="E8" s="67">
        <v>-340.4</v>
      </c>
      <c r="F8" s="67">
        <v>-342.3</v>
      </c>
      <c r="G8" s="80">
        <f t="shared" ref="G8:L8" si="0">IFERROR(ROUND(G77+G82,1),"n.a.")</f>
        <v>-489.4</v>
      </c>
      <c r="H8" s="80">
        <f t="shared" si="0"/>
        <v>-463.4</v>
      </c>
      <c r="I8" s="80">
        <f t="shared" si="0"/>
        <v>-390.5</v>
      </c>
      <c r="J8" s="80">
        <f t="shared" si="0"/>
        <v>-140</v>
      </c>
      <c r="K8" s="80">
        <f t="shared" si="0"/>
        <v>-345.6</v>
      </c>
      <c r="L8" s="80">
        <f t="shared" si="0"/>
        <v>-397.7</v>
      </c>
      <c r="M8" s="225"/>
    </row>
    <row r="9" spans="1:13" x14ac:dyDescent="0.2">
      <c r="A9" s="134" t="s">
        <v>315</v>
      </c>
      <c r="B9" s="133"/>
      <c r="C9" s="74"/>
      <c r="D9" s="67">
        <v>0</v>
      </c>
      <c r="E9" s="67">
        <v>0</v>
      </c>
      <c r="F9" s="67">
        <v>0</v>
      </c>
      <c r="G9" s="67">
        <v>0</v>
      </c>
      <c r="H9" s="67">
        <v>0</v>
      </c>
      <c r="I9" s="67">
        <v>-51.2</v>
      </c>
      <c r="J9" s="67">
        <v>-68.5</v>
      </c>
      <c r="K9" s="67">
        <v>-122.4</v>
      </c>
      <c r="L9" s="67">
        <v>-79.7</v>
      </c>
    </row>
    <row r="10" spans="1:13" x14ac:dyDescent="0.2">
      <c r="A10" s="134" t="s">
        <v>177</v>
      </c>
      <c r="B10" s="133"/>
      <c r="C10" s="85"/>
      <c r="D10" s="67">
        <v>-105.56599999999999</v>
      </c>
      <c r="E10" s="67">
        <v>89.315999999999988</v>
      </c>
      <c r="F10" s="67">
        <v>31.5</v>
      </c>
      <c r="G10" s="67">
        <v>123.8</v>
      </c>
      <c r="H10" s="67">
        <v>-388.2</v>
      </c>
      <c r="I10" s="67">
        <v>-60.800000000000004</v>
      </c>
      <c r="J10" s="67">
        <v>-92.8</v>
      </c>
      <c r="K10" s="67">
        <v>50.9</v>
      </c>
      <c r="L10" s="67">
        <v>77.90000000000002</v>
      </c>
    </row>
    <row r="11" spans="1:13" x14ac:dyDescent="0.2">
      <c r="A11" s="38" t="s">
        <v>159</v>
      </c>
      <c r="B11" s="38"/>
      <c r="C11" s="118"/>
      <c r="D11" s="118">
        <f t="shared" ref="D11:J11" si="1">IFERROR(D7+D8+D9+D10,"n.a.")</f>
        <v>566.33399999999995</v>
      </c>
      <c r="E11" s="118">
        <f t="shared" si="1"/>
        <v>831.21600000000001</v>
      </c>
      <c r="F11" s="118">
        <f t="shared" si="1"/>
        <v>771.5</v>
      </c>
      <c r="G11" s="118">
        <f t="shared" si="1"/>
        <v>772.1</v>
      </c>
      <c r="H11" s="118">
        <f t="shared" si="1"/>
        <v>383.10000000000008</v>
      </c>
      <c r="I11" s="118">
        <f t="shared" si="1"/>
        <v>807.5</v>
      </c>
      <c r="J11" s="118">
        <f t="shared" si="1"/>
        <v>591.33000000000004</v>
      </c>
      <c r="K11" s="118">
        <f>IFERROR(K7+K8+K9+K10,"n.a.")</f>
        <v>793.62</v>
      </c>
      <c r="L11" s="118">
        <f>IFERROR(L7+L8+L9+L10,"n.a.")</f>
        <v>1008.8159999999999</v>
      </c>
    </row>
    <row r="12" spans="1:13" x14ac:dyDescent="0.2">
      <c r="A12" s="134" t="s">
        <v>19</v>
      </c>
      <c r="B12" s="133"/>
      <c r="C12" s="67"/>
      <c r="D12" s="79">
        <f t="shared" ref="D12:K12" si="2">D65</f>
        <v>-170.755</v>
      </c>
      <c r="E12" s="79">
        <f t="shared" si="2"/>
        <v>-75.256</v>
      </c>
      <c r="F12" s="79">
        <f>F65+0.05</f>
        <v>-104.40600000000001</v>
      </c>
      <c r="G12" s="79">
        <f t="shared" si="2"/>
        <v>-135.5</v>
      </c>
      <c r="H12" s="79">
        <f t="shared" si="2"/>
        <v>-119.042</v>
      </c>
      <c r="I12" s="79">
        <f t="shared" si="2"/>
        <v>-141.98500000000001</v>
      </c>
      <c r="J12" s="79">
        <f t="shared" si="2"/>
        <v>-90.691999999999993</v>
      </c>
      <c r="K12" s="79">
        <f t="shared" si="2"/>
        <v>-125.634</v>
      </c>
      <c r="L12" s="79">
        <f>L65-0.01</f>
        <v>-205.46545425319079</v>
      </c>
    </row>
    <row r="13" spans="1:13" x14ac:dyDescent="0.2">
      <c r="A13" s="134" t="s">
        <v>365</v>
      </c>
      <c r="B13" s="133"/>
      <c r="C13" s="67"/>
      <c r="D13" s="67">
        <v>-284.5</v>
      </c>
      <c r="E13" s="67">
        <v>-427.3</v>
      </c>
      <c r="F13" s="79">
        <f>IFERROR(-F56,"n.a.")</f>
        <v>-427.19</v>
      </c>
      <c r="G13" s="79">
        <f>IFERROR(-G56,"n.a.")</f>
        <v>-362.61</v>
      </c>
      <c r="H13" s="79">
        <f>IFERROR(-H56,"n.a.")</f>
        <v>-196.31100000000001</v>
      </c>
      <c r="I13" s="79">
        <f>IFERROR(-I56+0.1,"n.a.")</f>
        <v>-109.37900000000002</v>
      </c>
      <c r="J13" s="79">
        <f>IFERROR(-J56+0.1,"n.a.")</f>
        <v>-156.40200000000002</v>
      </c>
      <c r="K13" s="79">
        <f>IFERROR(-K56,"n.a.")</f>
        <v>-144.28100000000001</v>
      </c>
      <c r="L13" s="79">
        <f>IFERROR(-L56,"n.a.")-0.01</f>
        <v>-201.70599999999999</v>
      </c>
    </row>
    <row r="14" spans="1:13" x14ac:dyDescent="0.2">
      <c r="A14" s="134" t="s">
        <v>123</v>
      </c>
      <c r="B14" s="133"/>
      <c r="C14" s="67"/>
      <c r="D14" s="67">
        <v>86.5</v>
      </c>
      <c r="E14" s="67">
        <v>-48.8</v>
      </c>
      <c r="F14" s="67">
        <v>96.4</v>
      </c>
      <c r="G14" s="67">
        <v>-84</v>
      </c>
      <c r="H14" s="67">
        <v>-154.80000000000001</v>
      </c>
      <c r="I14" s="67">
        <v>-194.6</v>
      </c>
      <c r="J14" s="67">
        <v>-102.9</v>
      </c>
      <c r="K14" s="67">
        <v>-96.3</v>
      </c>
      <c r="L14" s="67">
        <v>-86.1</v>
      </c>
    </row>
    <row r="15" spans="1:13" s="22" customFormat="1" x14ac:dyDescent="0.2">
      <c r="A15" s="38" t="s">
        <v>331</v>
      </c>
      <c r="B15" s="38"/>
      <c r="C15" s="118"/>
      <c r="D15" s="118">
        <f>IFERROR(D11+D12+D13+D14,"n.a")</f>
        <v>197.57899999999995</v>
      </c>
      <c r="E15" s="118">
        <f t="shared" ref="E15:J15" si="3">IFERROR(E11+E12+E13+E14,"n.a")</f>
        <v>279.86</v>
      </c>
      <c r="F15" s="118">
        <f t="shared" si="3"/>
        <v>336.30400000000009</v>
      </c>
      <c r="G15" s="118">
        <f t="shared" si="3"/>
        <v>189.99</v>
      </c>
      <c r="H15" s="118">
        <f>IFERROR(H11+H12+H13+H14+0.05,"n.a")</f>
        <v>-87.002999999999915</v>
      </c>
      <c r="I15" s="118">
        <f t="shared" si="3"/>
        <v>361.53599999999994</v>
      </c>
      <c r="J15" s="118">
        <f t="shared" si="3"/>
        <v>241.33599999999998</v>
      </c>
      <c r="K15" s="118">
        <f>IFERROR(K11+K12+K13+K14,"n.a")</f>
        <v>427.40499999999992</v>
      </c>
      <c r="L15" s="118">
        <f>IFERROR(L11+L12+L13+L14,"n.a")</f>
        <v>515.54454574680904</v>
      </c>
    </row>
    <row r="16" spans="1:13" x14ac:dyDescent="0.2">
      <c r="A16" s="29" t="s">
        <v>314</v>
      </c>
      <c r="B16" s="133"/>
      <c r="C16" s="67"/>
      <c r="D16" s="67">
        <v>0</v>
      </c>
      <c r="E16" s="67">
        <v>0</v>
      </c>
      <c r="F16" s="67">
        <v>0</v>
      </c>
      <c r="G16" s="67">
        <f>25.7-15.4</f>
        <v>10.299999999999999</v>
      </c>
      <c r="H16" s="67">
        <f>155.2-18.5-1.4</f>
        <v>135.29999999999998</v>
      </c>
      <c r="I16" s="67">
        <f>-17-0.4</f>
        <v>-17.399999999999999</v>
      </c>
      <c r="J16" s="67">
        <v>0</v>
      </c>
      <c r="K16" s="67">
        <v>3.8</v>
      </c>
      <c r="L16" s="67">
        <v>0</v>
      </c>
    </row>
    <row r="17" spans="1:13" x14ac:dyDescent="0.2">
      <c r="A17" s="134" t="s">
        <v>332</v>
      </c>
      <c r="B17" s="133"/>
      <c r="C17" s="67"/>
      <c r="D17" s="67">
        <v>0</v>
      </c>
      <c r="E17" s="67">
        <v>0</v>
      </c>
      <c r="F17" s="67">
        <v>0</v>
      </c>
      <c r="G17" s="67">
        <v>0</v>
      </c>
      <c r="H17" s="67">
        <v>0</v>
      </c>
      <c r="I17" s="67">
        <v>0</v>
      </c>
      <c r="J17" s="67">
        <v>-33.700000000000003</v>
      </c>
      <c r="K17" s="67">
        <v>0</v>
      </c>
      <c r="L17" s="67">
        <v>0</v>
      </c>
    </row>
    <row r="18" spans="1:13" s="22" customFormat="1" x14ac:dyDescent="0.2">
      <c r="A18" s="38" t="s">
        <v>333</v>
      </c>
      <c r="B18" s="38"/>
      <c r="C18" s="118"/>
      <c r="D18" s="118">
        <f t="shared" ref="D18:J18" si="4">IFERROR(D15+D16+D17,"n.a.")</f>
        <v>197.57899999999995</v>
      </c>
      <c r="E18" s="118">
        <f t="shared" si="4"/>
        <v>279.86</v>
      </c>
      <c r="F18" s="118">
        <f t="shared" si="4"/>
        <v>336.30400000000009</v>
      </c>
      <c r="G18" s="118">
        <f t="shared" si="4"/>
        <v>200.29000000000002</v>
      </c>
      <c r="H18" s="118">
        <f t="shared" si="4"/>
        <v>48.297000000000068</v>
      </c>
      <c r="I18" s="118">
        <f t="shared" si="4"/>
        <v>344.13599999999997</v>
      </c>
      <c r="J18" s="118">
        <f t="shared" si="4"/>
        <v>207.63599999999997</v>
      </c>
      <c r="K18" s="118">
        <f>IFERROR(K15+K16+K17,"n.a.")</f>
        <v>431.20499999999993</v>
      </c>
      <c r="L18" s="118">
        <f>IFERROR(L15+L16+L17,"n.a.")</f>
        <v>515.54454574680904</v>
      </c>
    </row>
    <row r="19" spans="1:13" x14ac:dyDescent="0.2">
      <c r="C19" s="135"/>
      <c r="D19" s="135"/>
      <c r="E19" s="135"/>
      <c r="F19" s="135"/>
      <c r="G19" s="135"/>
      <c r="H19" s="135"/>
      <c r="I19" s="135"/>
      <c r="J19" s="135"/>
      <c r="K19" s="135"/>
      <c r="L19" s="135"/>
      <c r="M19" s="22"/>
    </row>
    <row r="20" spans="1:13" x14ac:dyDescent="0.2">
      <c r="C20" s="135"/>
      <c r="D20" s="135"/>
      <c r="E20" s="135"/>
      <c r="F20" s="135"/>
      <c r="G20" s="135"/>
      <c r="H20" s="135"/>
      <c r="I20" s="135"/>
      <c r="J20" s="135"/>
      <c r="K20" s="135"/>
      <c r="L20" s="135"/>
      <c r="M20" s="22"/>
    </row>
    <row r="21" spans="1:13" ht="12.75" hidden="1" customHeight="1" outlineLevel="3" x14ac:dyDescent="0.2">
      <c r="A21" s="138"/>
      <c r="B21" s="133"/>
      <c r="C21" s="74"/>
      <c r="D21" s="74"/>
      <c r="E21" s="74"/>
      <c r="F21" s="74"/>
      <c r="G21" s="74"/>
      <c r="H21" s="74"/>
      <c r="I21" s="74"/>
      <c r="J21" s="74"/>
      <c r="K21" s="74"/>
      <c r="L21" s="74"/>
    </row>
    <row r="22" spans="1:13" ht="12.75" hidden="1" customHeight="1" outlineLevel="3" x14ac:dyDescent="0.2">
      <c r="A22" s="138"/>
      <c r="B22" s="133"/>
      <c r="C22" s="74"/>
      <c r="D22" s="74"/>
      <c r="E22" s="74"/>
      <c r="F22" s="74"/>
      <c r="G22" s="74"/>
      <c r="H22" s="74"/>
      <c r="I22" s="74"/>
      <c r="J22" s="74"/>
      <c r="K22" s="74"/>
      <c r="L22" s="74"/>
    </row>
    <row r="23" spans="1:13" ht="12.75" hidden="1" customHeight="1" outlineLevel="3" x14ac:dyDescent="0.2">
      <c r="A23" s="138"/>
      <c r="B23" s="133"/>
      <c r="C23" s="74"/>
      <c r="D23" s="74"/>
      <c r="E23" s="74"/>
      <c r="F23" s="74"/>
      <c r="G23" s="74"/>
      <c r="H23" s="74"/>
      <c r="I23" s="74"/>
      <c r="J23" s="74"/>
      <c r="K23" s="74"/>
      <c r="L23" s="74"/>
    </row>
    <row r="24" spans="1:13" ht="12.75" hidden="1" customHeight="1" outlineLevel="3" x14ac:dyDescent="0.2">
      <c r="A24" s="138"/>
      <c r="B24" s="133"/>
      <c r="C24" s="74"/>
      <c r="D24" s="74"/>
      <c r="E24" s="74"/>
      <c r="F24" s="74"/>
      <c r="G24" s="74"/>
      <c r="H24" s="74"/>
      <c r="I24" s="74"/>
      <c r="J24" s="74"/>
      <c r="K24" s="74"/>
      <c r="L24" s="74"/>
    </row>
    <row r="25" spans="1:13" ht="12.75" hidden="1" customHeight="1" outlineLevel="3" x14ac:dyDescent="0.2">
      <c r="A25" s="138"/>
      <c r="B25" s="133"/>
      <c r="C25" s="74"/>
      <c r="D25" s="74"/>
      <c r="E25" s="74"/>
      <c r="F25" s="74"/>
      <c r="G25" s="74"/>
      <c r="H25" s="74"/>
      <c r="I25" s="74"/>
      <c r="J25" s="74"/>
      <c r="K25" s="74"/>
      <c r="L25" s="74"/>
    </row>
    <row r="26" spans="1:13" collapsed="1" x14ac:dyDescent="0.2">
      <c r="A26" s="120" t="s">
        <v>197</v>
      </c>
      <c r="B26" s="120"/>
      <c r="C26" s="136"/>
      <c r="D26" s="151">
        <f>ROUND('Balance Sheet - FY'!C36,1)</f>
        <v>1038</v>
      </c>
      <c r="E26" s="151">
        <f>ROUND('Balance Sheet - FY'!D36,1)</f>
        <v>1240.5</v>
      </c>
      <c r="F26" s="179">
        <v>5331</v>
      </c>
      <c r="G26" s="151">
        <f>ROUND('Balance Sheet - FY'!F36,1)</f>
        <v>4912.8</v>
      </c>
      <c r="H26" s="151">
        <f>ROUND('Balance Sheet - FY'!G36,1)</f>
        <v>3218.5</v>
      </c>
      <c r="I26" s="151">
        <f>ROUND('Balance Sheet - FY'!H36,1)</f>
        <v>3180.1</v>
      </c>
      <c r="J26" s="151">
        <f>ROUND('Balance Sheet - FY'!I40,1)</f>
        <v>3507.2</v>
      </c>
      <c r="K26" s="151">
        <f>ROUND('Balance Sheet - FY'!J40,1)</f>
        <v>3258.4</v>
      </c>
      <c r="L26" s="151">
        <f>ROUND('Balance Sheet - FY'!K40,1)</f>
        <v>2907.1</v>
      </c>
      <c r="M26" s="22"/>
    </row>
    <row r="27" spans="1:13" x14ac:dyDescent="0.2">
      <c r="A27" s="134" t="str">
        <f>A18</f>
        <v>Net Cash Flow before dividends &amp; convertible bond impact</v>
      </c>
      <c r="B27" s="133"/>
      <c r="C27" s="137"/>
      <c r="D27" s="137">
        <f t="shared" ref="D27:J27" si="5">IFERROR(-D18,"n.a.")</f>
        <v>-197.57899999999995</v>
      </c>
      <c r="E27" s="137">
        <f t="shared" si="5"/>
        <v>-279.86</v>
      </c>
      <c r="F27" s="137">
        <f t="shared" si="5"/>
        <v>-336.30400000000009</v>
      </c>
      <c r="G27" s="137">
        <f t="shared" si="5"/>
        <v>-200.29000000000002</v>
      </c>
      <c r="H27" s="137">
        <f t="shared" si="5"/>
        <v>-48.297000000000068</v>
      </c>
      <c r="I27" s="137">
        <f t="shared" si="5"/>
        <v>-344.13599999999997</v>
      </c>
      <c r="J27" s="137">
        <f t="shared" si="5"/>
        <v>-207.63599999999997</v>
      </c>
      <c r="K27" s="137">
        <f>IFERROR(-K18,"n.a.")</f>
        <v>-431.20499999999993</v>
      </c>
      <c r="L27" s="137">
        <f>IFERROR(-L18,"n.a.")</f>
        <v>-515.54454574680904</v>
      </c>
    </row>
    <row r="28" spans="1:13" hidden="1" outlineLevel="1" x14ac:dyDescent="0.2">
      <c r="A28" s="134" t="s">
        <v>18</v>
      </c>
      <c r="B28" s="133"/>
      <c r="C28" s="67"/>
      <c r="D28" s="67">
        <v>277.7</v>
      </c>
      <c r="E28" s="67">
        <v>0</v>
      </c>
      <c r="F28" s="67">
        <v>0</v>
      </c>
      <c r="G28" s="67">
        <v>0</v>
      </c>
      <c r="H28" s="67">
        <v>0</v>
      </c>
      <c r="I28" s="67">
        <v>0</v>
      </c>
      <c r="J28" s="67">
        <v>0</v>
      </c>
      <c r="K28" s="67">
        <v>0</v>
      </c>
      <c r="L28" s="67">
        <v>0</v>
      </c>
    </row>
    <row r="29" spans="1:13" hidden="1" outlineLevel="1" x14ac:dyDescent="0.2">
      <c r="A29" s="134" t="s">
        <v>124</v>
      </c>
      <c r="B29" s="133"/>
      <c r="C29" s="67"/>
      <c r="D29" s="67">
        <v>-45.6</v>
      </c>
      <c r="E29" s="67">
        <v>0</v>
      </c>
      <c r="F29" s="67">
        <v>0</v>
      </c>
      <c r="G29" s="67">
        <v>0</v>
      </c>
      <c r="H29" s="67">
        <v>0</v>
      </c>
      <c r="I29" s="67">
        <v>0</v>
      </c>
      <c r="J29" s="67">
        <v>0</v>
      </c>
      <c r="K29" s="67">
        <v>0</v>
      </c>
      <c r="L29" s="67">
        <v>0</v>
      </c>
    </row>
    <row r="30" spans="1:13" collapsed="1" x14ac:dyDescent="0.2">
      <c r="A30" s="134" t="s">
        <v>334</v>
      </c>
      <c r="B30" s="133"/>
      <c r="C30" s="67"/>
      <c r="D30" s="67">
        <v>0</v>
      </c>
      <c r="E30" s="67">
        <v>0</v>
      </c>
      <c r="F30" s="67">
        <v>0</v>
      </c>
      <c r="G30" s="67">
        <v>0</v>
      </c>
      <c r="H30" s="67">
        <v>0</v>
      </c>
      <c r="I30" s="67">
        <v>0</v>
      </c>
      <c r="J30" s="67">
        <v>-41.2</v>
      </c>
      <c r="K30" s="67">
        <v>0</v>
      </c>
      <c r="L30" s="67">
        <v>0</v>
      </c>
    </row>
    <row r="31" spans="1:13" x14ac:dyDescent="0.2">
      <c r="A31" s="134" t="s">
        <v>125</v>
      </c>
      <c r="B31" s="133"/>
      <c r="C31" s="67"/>
      <c r="D31" s="67">
        <v>168</v>
      </c>
      <c r="E31" s="67">
        <v>0</v>
      </c>
      <c r="F31" s="67">
        <v>0</v>
      </c>
      <c r="G31" s="67">
        <v>0</v>
      </c>
      <c r="H31" s="67">
        <v>0</v>
      </c>
      <c r="I31" s="67">
        <v>176.9</v>
      </c>
      <c r="J31" s="67">
        <v>0</v>
      </c>
      <c r="K31" s="67">
        <v>79.900000000000006</v>
      </c>
      <c r="L31" s="67">
        <v>161</v>
      </c>
    </row>
    <row r="32" spans="1:13" hidden="1" outlineLevel="1" x14ac:dyDescent="0.2">
      <c r="A32" s="134" t="s">
        <v>179</v>
      </c>
      <c r="B32" s="133"/>
      <c r="C32" s="67"/>
      <c r="D32" s="67">
        <v>0</v>
      </c>
      <c r="E32" s="67">
        <v>0</v>
      </c>
      <c r="F32" s="67">
        <v>33.9</v>
      </c>
      <c r="G32" s="67">
        <v>0</v>
      </c>
      <c r="H32" s="67">
        <v>0</v>
      </c>
      <c r="I32" s="67">
        <v>0</v>
      </c>
      <c r="J32" s="67">
        <v>0</v>
      </c>
      <c r="K32" s="67">
        <v>0</v>
      </c>
      <c r="L32" s="67">
        <v>0</v>
      </c>
    </row>
    <row r="33" spans="1:12" hidden="1" outlineLevel="1" x14ac:dyDescent="0.2">
      <c r="A33" s="134" t="s">
        <v>180</v>
      </c>
      <c r="B33" s="133"/>
      <c r="C33" s="67"/>
      <c r="D33" s="67">
        <v>0</v>
      </c>
      <c r="E33" s="67">
        <v>0</v>
      </c>
      <c r="F33" s="67">
        <v>-10.9</v>
      </c>
      <c r="G33" s="67">
        <v>0</v>
      </c>
      <c r="H33" s="67">
        <v>0</v>
      </c>
      <c r="I33" s="67">
        <v>0</v>
      </c>
      <c r="J33" s="67">
        <v>0</v>
      </c>
      <c r="K33" s="67">
        <v>0</v>
      </c>
      <c r="L33" s="67">
        <v>0</v>
      </c>
    </row>
    <row r="34" spans="1:12" hidden="1" outlineLevel="1" x14ac:dyDescent="0.2">
      <c r="A34" s="134" t="s">
        <v>127</v>
      </c>
      <c r="B34" s="133"/>
      <c r="C34" s="67"/>
      <c r="D34" s="67">
        <v>0</v>
      </c>
      <c r="E34" s="67">
        <v>4131.8999999999996</v>
      </c>
      <c r="F34" s="67">
        <v>0</v>
      </c>
      <c r="G34" s="67">
        <v>0</v>
      </c>
      <c r="H34" s="67">
        <v>0</v>
      </c>
      <c r="I34" s="67">
        <v>0</v>
      </c>
      <c r="J34" s="67">
        <v>0</v>
      </c>
      <c r="K34" s="67">
        <v>0</v>
      </c>
      <c r="L34" s="67">
        <v>0</v>
      </c>
    </row>
    <row r="35" spans="1:12" hidden="1" outlineLevel="1" x14ac:dyDescent="0.2">
      <c r="A35" s="134" t="s">
        <v>126</v>
      </c>
      <c r="B35" s="133"/>
      <c r="C35" s="67"/>
      <c r="D35" s="67">
        <v>0</v>
      </c>
      <c r="E35" s="67">
        <v>-266.2</v>
      </c>
      <c r="F35" s="67">
        <v>-266</v>
      </c>
      <c r="G35" s="67">
        <v>0</v>
      </c>
      <c r="H35" s="67">
        <v>0</v>
      </c>
      <c r="I35" s="67">
        <v>0</v>
      </c>
      <c r="J35" s="67">
        <v>0</v>
      </c>
      <c r="K35" s="67">
        <v>0</v>
      </c>
      <c r="L35" s="67">
        <v>0</v>
      </c>
    </row>
    <row r="36" spans="1:12" hidden="1" outlineLevel="1" x14ac:dyDescent="0.2">
      <c r="A36" s="134" t="s">
        <v>178</v>
      </c>
      <c r="B36" s="133"/>
      <c r="C36" s="67"/>
      <c r="D36" s="67">
        <v>0</v>
      </c>
      <c r="E36" s="67">
        <v>134.30000000000001</v>
      </c>
      <c r="F36" s="67">
        <v>134.30000000000001</v>
      </c>
      <c r="G36" s="67">
        <v>0</v>
      </c>
      <c r="H36" s="67">
        <v>0</v>
      </c>
      <c r="I36" s="67">
        <v>0</v>
      </c>
      <c r="J36" s="67">
        <v>0</v>
      </c>
      <c r="K36" s="67">
        <v>0</v>
      </c>
      <c r="L36" s="67">
        <v>0</v>
      </c>
    </row>
    <row r="37" spans="1:12" hidden="1" outlineLevel="1" x14ac:dyDescent="0.2">
      <c r="A37" s="134" t="s">
        <v>182</v>
      </c>
      <c r="B37" s="133"/>
      <c r="C37" s="67"/>
      <c r="D37" s="67">
        <v>0</v>
      </c>
      <c r="E37" s="67">
        <v>0</v>
      </c>
      <c r="F37" s="67">
        <v>77.400000000000006</v>
      </c>
      <c r="G37" s="67">
        <v>0</v>
      </c>
      <c r="H37" s="67">
        <v>0</v>
      </c>
      <c r="I37" s="67">
        <v>0</v>
      </c>
      <c r="J37" s="67">
        <v>0</v>
      </c>
      <c r="K37" s="67">
        <v>0</v>
      </c>
      <c r="L37" s="67">
        <v>0</v>
      </c>
    </row>
    <row r="38" spans="1:12" collapsed="1" x14ac:dyDescent="0.2">
      <c r="A38" s="134" t="s">
        <v>128</v>
      </c>
      <c r="B38" s="133"/>
      <c r="C38" s="67"/>
      <c r="D38" s="67">
        <v>0</v>
      </c>
      <c r="E38" s="67">
        <v>0</v>
      </c>
      <c r="F38" s="67">
        <v>-46.9</v>
      </c>
      <c r="G38" s="67">
        <v>-304.60000000000002</v>
      </c>
      <c r="H38" s="67">
        <v>9.9</v>
      </c>
      <c r="I38" s="67">
        <v>0</v>
      </c>
      <c r="J38" s="67">
        <v>0</v>
      </c>
      <c r="K38" s="67">
        <v>0</v>
      </c>
      <c r="L38" s="67">
        <v>0</v>
      </c>
    </row>
    <row r="39" spans="1:12" hidden="1" outlineLevel="1" x14ac:dyDescent="0.2">
      <c r="A39" s="134" t="s">
        <v>183</v>
      </c>
      <c r="B39" s="133"/>
      <c r="C39" s="67"/>
      <c r="D39" s="67">
        <v>0</v>
      </c>
      <c r="E39" s="67">
        <v>0</v>
      </c>
      <c r="F39" s="67">
        <v>-3.8</v>
      </c>
      <c r="G39" s="67">
        <v>0</v>
      </c>
      <c r="H39" s="67">
        <v>0</v>
      </c>
      <c r="I39" s="67">
        <v>0</v>
      </c>
      <c r="J39" s="67">
        <v>0</v>
      </c>
      <c r="K39" s="67">
        <v>0</v>
      </c>
      <c r="L39" s="67">
        <v>0</v>
      </c>
    </row>
    <row r="40" spans="1:12" collapsed="1" x14ac:dyDescent="0.2">
      <c r="A40" s="134" t="s">
        <v>129</v>
      </c>
      <c r="B40" s="133"/>
      <c r="C40" s="85"/>
      <c r="D40" s="79">
        <f t="shared" ref="D40:J40" si="6">IFERROR(-D102,"n.a.")</f>
        <v>0</v>
      </c>
      <c r="E40" s="79">
        <f t="shared" si="6"/>
        <v>0</v>
      </c>
      <c r="F40" s="79">
        <f t="shared" si="6"/>
        <v>0</v>
      </c>
      <c r="G40" s="79">
        <f t="shared" si="6"/>
        <v>-1189.375</v>
      </c>
      <c r="H40" s="79">
        <f t="shared" si="6"/>
        <v>0</v>
      </c>
      <c r="I40" s="79">
        <f t="shared" si="6"/>
        <v>0</v>
      </c>
      <c r="J40" s="79">
        <f t="shared" si="6"/>
        <v>0</v>
      </c>
      <c r="K40" s="79">
        <v>0</v>
      </c>
      <c r="L40" s="79">
        <v>0</v>
      </c>
    </row>
    <row r="41" spans="1:12" hidden="1" outlineLevel="1" x14ac:dyDescent="0.2">
      <c r="A41" s="204" t="s">
        <v>279</v>
      </c>
      <c r="B41" s="205"/>
      <c r="C41" s="206"/>
      <c r="D41" s="67">
        <v>0</v>
      </c>
      <c r="E41" s="67">
        <v>0</v>
      </c>
      <c r="F41" s="67">
        <v>0</v>
      </c>
      <c r="G41" s="67">
        <v>0</v>
      </c>
      <c r="H41" s="67">
        <v>0</v>
      </c>
      <c r="I41" s="67">
        <v>11.2</v>
      </c>
      <c r="J41" s="67">
        <v>0</v>
      </c>
      <c r="K41" s="67">
        <v>0</v>
      </c>
      <c r="L41" s="67">
        <v>0</v>
      </c>
    </row>
    <row r="42" spans="1:12" s="22" customFormat="1" collapsed="1" x14ac:dyDescent="0.2">
      <c r="A42" s="122" t="s">
        <v>280</v>
      </c>
      <c r="B42" s="122"/>
      <c r="C42" s="123"/>
      <c r="D42" s="100">
        <f t="shared" ref="D42:I42" si="7">IFERROR(D26+D27+D28+D29+D30+D31+D32+D33+D34+D35+D36+D37+D38+D39+D40+D41,"n.a.")</f>
        <v>1240.5210000000002</v>
      </c>
      <c r="E42" s="100">
        <f t="shared" si="7"/>
        <v>4960.6400000000003</v>
      </c>
      <c r="F42" s="100">
        <f t="shared" si="7"/>
        <v>4912.6959999999999</v>
      </c>
      <c r="G42" s="100">
        <f t="shared" si="7"/>
        <v>3218.5349999999999</v>
      </c>
      <c r="H42" s="100">
        <f t="shared" si="7"/>
        <v>3180.1030000000001</v>
      </c>
      <c r="I42" s="100">
        <f t="shared" si="7"/>
        <v>3024.0639999999999</v>
      </c>
      <c r="J42" s="100" t="s">
        <v>174</v>
      </c>
      <c r="K42" s="100" t="s">
        <v>174</v>
      </c>
      <c r="L42" s="100" t="s">
        <v>174</v>
      </c>
    </row>
    <row r="43" spans="1:12" x14ac:dyDescent="0.2">
      <c r="A43" s="134" t="s">
        <v>358</v>
      </c>
      <c r="B43" s="133"/>
      <c r="C43" s="67"/>
      <c r="D43" s="67">
        <v>0</v>
      </c>
      <c r="E43" s="67">
        <v>0</v>
      </c>
      <c r="F43" s="67">
        <v>0</v>
      </c>
      <c r="G43" s="67">
        <v>0</v>
      </c>
      <c r="H43" s="67">
        <v>0</v>
      </c>
      <c r="I43" s="67">
        <v>494.3</v>
      </c>
      <c r="J43" s="67" t="s">
        <v>228</v>
      </c>
      <c r="K43" s="67" t="s">
        <v>228</v>
      </c>
      <c r="L43" s="67" t="s">
        <v>228</v>
      </c>
    </row>
    <row r="44" spans="1:12" x14ac:dyDescent="0.2">
      <c r="A44" s="134" t="s">
        <v>295</v>
      </c>
      <c r="B44" s="133"/>
      <c r="C44" s="67"/>
      <c r="D44" s="67">
        <v>0</v>
      </c>
      <c r="E44" s="67">
        <v>0</v>
      </c>
      <c r="F44" s="67">
        <v>0</v>
      </c>
      <c r="G44" s="67">
        <v>0</v>
      </c>
      <c r="H44" s="67">
        <v>0</v>
      </c>
      <c r="I44" s="67">
        <v>-11.2</v>
      </c>
      <c r="J44" s="67" t="s">
        <v>228</v>
      </c>
      <c r="K44" s="67" t="s">
        <v>228</v>
      </c>
      <c r="L44" s="67" t="s">
        <v>228</v>
      </c>
    </row>
    <row r="45" spans="1:12" s="22" customFormat="1" x14ac:dyDescent="0.2">
      <c r="A45" s="122" t="s">
        <v>281</v>
      </c>
      <c r="B45" s="122"/>
      <c r="C45" s="123"/>
      <c r="D45" s="100">
        <f t="shared" ref="D45:I45" si="8">IFERROR(D42+D43+D44,"n.a.")</f>
        <v>1240.5210000000002</v>
      </c>
      <c r="E45" s="100">
        <f t="shared" si="8"/>
        <v>4960.6400000000003</v>
      </c>
      <c r="F45" s="100">
        <f t="shared" si="8"/>
        <v>4912.6959999999999</v>
      </c>
      <c r="G45" s="100">
        <f t="shared" si="8"/>
        <v>3218.5349999999999</v>
      </c>
      <c r="H45" s="100">
        <f t="shared" si="8"/>
        <v>3180.1030000000001</v>
      </c>
      <c r="I45" s="100">
        <f t="shared" si="8"/>
        <v>3507.1640000000002</v>
      </c>
      <c r="J45" s="100">
        <f>IFERROR(J26+J27+J28+J29+J30+J31+J32+J33+J34+J35+J36+J37+J38+J39+J40+J41,"n.a.")</f>
        <v>3258.364</v>
      </c>
      <c r="K45" s="100">
        <f>IFERROR(K26+K27+K28+K29+K30+K31+K32+K33+K34+K35+K36+K37+K38+K39+K40+K41,"n.a.")</f>
        <v>2907.0950000000003</v>
      </c>
      <c r="L45" s="100">
        <f>IFERROR(L26+L27+L28+L29+L30+L31+L32+L33+L34+L35+L36+L37+L38+L39+L40+L41,"n.a.")</f>
        <v>2552.5554542531909</v>
      </c>
    </row>
    <row r="48" spans="1:12" ht="13.5" thickBot="1" x14ac:dyDescent="0.25">
      <c r="A48" s="11" t="s">
        <v>147</v>
      </c>
      <c r="B48" s="11"/>
      <c r="C48" s="13" t="s">
        <v>24</v>
      </c>
      <c r="D48" s="13" t="str">
        <f t="shared" ref="D48:J49" si="9">D4</f>
        <v>FY 2015</v>
      </c>
      <c r="E48" s="13" t="str">
        <f t="shared" si="9"/>
        <v>FY 2016</v>
      </c>
      <c r="F48" s="13" t="str">
        <f t="shared" si="9"/>
        <v>FY 2016</v>
      </c>
      <c r="G48" s="13" t="str">
        <f t="shared" si="9"/>
        <v>FY 2017</v>
      </c>
      <c r="H48" s="13" t="str">
        <f t="shared" si="9"/>
        <v>FY 2018</v>
      </c>
      <c r="I48" s="13" t="str">
        <f t="shared" si="9"/>
        <v>FY 2019</v>
      </c>
      <c r="J48" s="13" t="str">
        <f t="shared" si="9"/>
        <v>FY 2020</v>
      </c>
      <c r="K48" s="13" t="str">
        <f>K4</f>
        <v>FY 2021</v>
      </c>
      <c r="L48" s="13" t="str">
        <f>L4</f>
        <v>FY 2022</v>
      </c>
    </row>
    <row r="49" spans="1:14" x14ac:dyDescent="0.2">
      <c r="C49" s="129" t="s">
        <v>176</v>
      </c>
      <c r="D49" s="129" t="str">
        <f t="shared" si="9"/>
        <v>carve-out</v>
      </c>
      <c r="E49" s="129" t="str">
        <f t="shared" si="9"/>
        <v>carve-out</v>
      </c>
      <c r="F49" s="129" t="str">
        <f t="shared" si="9"/>
        <v>restated</v>
      </c>
      <c r="G49" s="129" t="str">
        <f t="shared" si="9"/>
        <v>reported</v>
      </c>
      <c r="H49" s="129" t="str">
        <f t="shared" si="9"/>
        <v>reported</v>
      </c>
      <c r="I49" s="129" t="str">
        <f t="shared" si="9"/>
        <v>reported</v>
      </c>
      <c r="J49" s="129" t="str">
        <f t="shared" si="9"/>
        <v>reported</v>
      </c>
      <c r="K49" s="129" t="str">
        <f>K5</f>
        <v>reported</v>
      </c>
      <c r="L49" s="129" t="str">
        <f>L5</f>
        <v>reported</v>
      </c>
    </row>
    <row r="51" spans="1:14" ht="12.75" hidden="1" customHeight="1" outlineLevel="3" x14ac:dyDescent="0.2">
      <c r="A51" s="127" t="s">
        <v>20</v>
      </c>
      <c r="B51" s="124"/>
      <c r="C51" s="125">
        <f>'Fin. Highlights - FY'!C40</f>
        <v>237.73300000000009</v>
      </c>
      <c r="D51" s="125">
        <f>'Fin. Highlights - FY'!D40</f>
        <v>-378.4430000000001</v>
      </c>
      <c r="E51" s="125">
        <f>'Fin. Highlights - FY'!E40</f>
        <v>163.98699999999999</v>
      </c>
      <c r="F51" s="125">
        <f>'Fin. Highlights - FY'!F40</f>
        <v>147.625</v>
      </c>
      <c r="G51" s="125">
        <f>'Fin. Highlights - FY'!G40</f>
        <v>175.72499999999985</v>
      </c>
      <c r="H51" s="125">
        <f>'Fin. Highlights - FY'!H40</f>
        <v>442.39099999999985</v>
      </c>
      <c r="I51" s="125">
        <f>'Fin. Highlights - FY'!I40</f>
        <v>457.65899999999999</v>
      </c>
      <c r="J51" s="125">
        <f>'Fin. Highlights - FY'!J40</f>
        <v>42.745000000000047</v>
      </c>
      <c r="K51" s="125">
        <f>IFERROR('Fin. Highlights - FY'!K40,"n.a.")</f>
        <v>321.59299999999979</v>
      </c>
      <c r="L51" s="125">
        <f>IFERROR('Fin. Highlights - FY'!L40,"n.a.")</f>
        <v>435.89600000000007</v>
      </c>
    </row>
    <row r="52" spans="1:14" ht="12.75" hidden="1" customHeight="1" outlineLevel="3" x14ac:dyDescent="0.2">
      <c r="A52" s="138" t="s">
        <v>87</v>
      </c>
      <c r="B52" s="133"/>
      <c r="C52" s="74">
        <f>-'Fin. Highlights - FY'!C39</f>
        <v>-17.623000000000001</v>
      </c>
      <c r="D52" s="74">
        <f>-'Fin. Highlights - FY'!D39</f>
        <v>14.651</v>
      </c>
      <c r="E52" s="74">
        <f>-'Fin. Highlights - FY'!E39</f>
        <v>0</v>
      </c>
      <c r="F52" s="74">
        <f>-'Fin. Highlights - FY'!F39</f>
        <v>16.361999999999998</v>
      </c>
      <c r="G52" s="74">
        <f>-'Fin. Highlights - FY'!G39</f>
        <v>87.561999999999998</v>
      </c>
      <c r="H52" s="74">
        <f>-'Fin. Highlights - FY'!H39</f>
        <v>6.4089999999999998</v>
      </c>
      <c r="I52" s="74">
        <f>-'Fin. Highlights - FY'!I39</f>
        <v>0</v>
      </c>
      <c r="J52" s="74">
        <f>-'Fin. Highlights - FY'!J39</f>
        <v>0</v>
      </c>
      <c r="K52" s="74">
        <f>IFERROR(-'Fin. Highlights - FY'!K39,"n.a.")</f>
        <v>0</v>
      </c>
      <c r="L52" s="74">
        <f>IFERROR(-'Fin. Highlights - FY'!L39,"n.a.")</f>
        <v>0</v>
      </c>
    </row>
    <row r="53" spans="1:14" ht="12.75" hidden="1" customHeight="1" outlineLevel="3" x14ac:dyDescent="0.2">
      <c r="A53" s="138" t="s">
        <v>88</v>
      </c>
      <c r="B53" s="133"/>
      <c r="C53" s="74">
        <f>-'Fin. Highlights - FY'!C36</f>
        <v>130.148</v>
      </c>
      <c r="D53" s="74">
        <f>-'Fin. Highlights - FY'!D36</f>
        <v>278.15499999999997</v>
      </c>
      <c r="E53" s="74">
        <f>-'Fin. Highlights - FY'!E36</f>
        <v>75.256</v>
      </c>
      <c r="F53" s="74">
        <f>-'Fin. Highlights - FY'!F36</f>
        <v>75.256</v>
      </c>
      <c r="G53" s="74">
        <f>-'Fin. Highlights - FY'!G36</f>
        <v>40.847999999999999</v>
      </c>
      <c r="H53" s="74">
        <f>-'Fin. Highlights - FY'!H36</f>
        <v>53</v>
      </c>
      <c r="I53" s="74">
        <f>-'Fin. Highlights - FY'!I36</f>
        <v>164.56200000000001</v>
      </c>
      <c r="J53" s="74">
        <f>-'Fin. Highlights - FY'!J36</f>
        <v>14.693</v>
      </c>
      <c r="K53" s="74">
        <f>IFERROR(-'Fin. Highlights - FY'!K36,"n.a.")</f>
        <v>115.158</v>
      </c>
      <c r="L53" s="74">
        <f>IFERROR(-'Fin. Highlights - FY'!L36,"n.a.")</f>
        <v>159.73400000000001</v>
      </c>
    </row>
    <row r="54" spans="1:14" ht="12.75" hidden="1" customHeight="1" outlineLevel="2" x14ac:dyDescent="0.2">
      <c r="A54" s="128" t="s">
        <v>96</v>
      </c>
      <c r="B54" s="87"/>
      <c r="C54" s="153">
        <f>IFERROR(C51+C52+C53,"n.a.")</f>
        <v>350.2580000000001</v>
      </c>
      <c r="D54" s="153">
        <f>IFERROR(D51+D52+D53,"n.a.")</f>
        <v>-85.637000000000114</v>
      </c>
      <c r="E54" s="153">
        <f>IFERROR(E51+E52+E53,"n.a.")</f>
        <v>239.24299999999999</v>
      </c>
      <c r="F54" s="153">
        <f>IFERROR(F51+F52+F53,"n.a.")</f>
        <v>239.24299999999999</v>
      </c>
      <c r="G54" s="153">
        <f>IFERROR(G51+G52+G53,"n.a.")</f>
        <v>304.13499999999988</v>
      </c>
      <c r="H54" s="153">
        <f>IFERROR(H51+H52+H53-0.035,"n.a.")</f>
        <v>501.76499999999982</v>
      </c>
      <c r="I54" s="153">
        <f>IFERROR(I51+I52+I53+0.038,"n.a.")</f>
        <v>622.25900000000001</v>
      </c>
      <c r="J54" s="153">
        <f>IFERROR(J51+J52+J53-0.072,"n.a.")</f>
        <v>57.366000000000042</v>
      </c>
      <c r="K54" s="153">
        <f>IFERROR(K51+K52+K53,"n.a.")</f>
        <v>436.75099999999981</v>
      </c>
      <c r="L54" s="153">
        <f>IFERROR(L51+L52+L53,"n.a.")</f>
        <v>595.63000000000011</v>
      </c>
      <c r="M54" s="238"/>
      <c r="N54" s="238"/>
    </row>
    <row r="55" spans="1:14" hidden="1" outlineLevel="2" x14ac:dyDescent="0.2">
      <c r="A55" s="132" t="s">
        <v>89</v>
      </c>
      <c r="B55" s="133"/>
      <c r="C55" s="42">
        <v>262.25299999999999</v>
      </c>
      <c r="D55" s="42">
        <v>281.065</v>
      </c>
      <c r="E55" s="42">
        <v>342.584</v>
      </c>
      <c r="F55" s="42">
        <v>342.584</v>
      </c>
      <c r="G55" s="42">
        <v>371.45699999999999</v>
      </c>
      <c r="H55" s="42">
        <v>414.52300000000002</v>
      </c>
      <c r="I55" s="42">
        <v>527.81799999999998</v>
      </c>
      <c r="J55" s="42">
        <v>517.15200000000004</v>
      </c>
      <c r="K55" s="42">
        <v>517.19200000000001</v>
      </c>
      <c r="L55" s="42">
        <v>566.68899999999996</v>
      </c>
    </row>
    <row r="56" spans="1:14" hidden="1" outlineLevel="2" x14ac:dyDescent="0.2">
      <c r="A56" s="132" t="s">
        <v>338</v>
      </c>
      <c r="B56" s="133"/>
      <c r="C56" s="80">
        <f t="shared" ref="C56:I56" si="10">IFERROR(C57+C58,"n.a.")</f>
        <v>256.93099999999998</v>
      </c>
      <c r="D56" s="80">
        <f t="shared" si="10"/>
        <v>308.52</v>
      </c>
      <c r="E56" s="80">
        <f t="shared" si="10"/>
        <v>427.19</v>
      </c>
      <c r="F56" s="80">
        <f t="shared" si="10"/>
        <v>427.19</v>
      </c>
      <c r="G56" s="80">
        <f t="shared" si="10"/>
        <v>362.61</v>
      </c>
      <c r="H56" s="80">
        <f t="shared" si="10"/>
        <v>196.31100000000001</v>
      </c>
      <c r="I56" s="80">
        <f t="shared" si="10"/>
        <v>109.47900000000001</v>
      </c>
      <c r="J56" s="42">
        <v>156.50200000000001</v>
      </c>
      <c r="K56" s="42">
        <v>144.28100000000001</v>
      </c>
      <c r="L56" s="42">
        <v>201.696</v>
      </c>
    </row>
    <row r="57" spans="1:14" hidden="1" outlineLevel="3" x14ac:dyDescent="0.2">
      <c r="A57" s="132" t="s">
        <v>90</v>
      </c>
      <c r="B57" s="133"/>
      <c r="C57" s="42">
        <v>341.56299999999999</v>
      </c>
      <c r="D57" s="42">
        <v>370.38099999999997</v>
      </c>
      <c r="E57" s="42">
        <v>469.99599999999998</v>
      </c>
      <c r="F57" s="42">
        <v>469.99599999999998</v>
      </c>
      <c r="G57" s="42">
        <v>491.15</v>
      </c>
      <c r="H57" s="42">
        <v>255.173</v>
      </c>
      <c r="I57" s="42">
        <v>238.24</v>
      </c>
      <c r="J57" s="67" t="s">
        <v>228</v>
      </c>
      <c r="K57" s="67" t="s">
        <v>228</v>
      </c>
      <c r="L57" s="67" t="s">
        <v>228</v>
      </c>
    </row>
    <row r="58" spans="1:14" hidden="1" outlineLevel="3" x14ac:dyDescent="0.2">
      <c r="A58" s="132" t="s">
        <v>91</v>
      </c>
      <c r="B58" s="133"/>
      <c r="C58" s="42">
        <v>-84.632000000000005</v>
      </c>
      <c r="D58" s="42">
        <v>-61.860999999999997</v>
      </c>
      <c r="E58" s="42">
        <v>-42.805999999999997</v>
      </c>
      <c r="F58" s="42">
        <v>-42.805999999999997</v>
      </c>
      <c r="G58" s="42">
        <v>-128.54</v>
      </c>
      <c r="H58" s="42">
        <v>-58.862000000000002</v>
      </c>
      <c r="I58" s="42">
        <v>-128.761</v>
      </c>
      <c r="J58" s="67" t="s">
        <v>228</v>
      </c>
      <c r="K58" s="67" t="s">
        <v>228</v>
      </c>
      <c r="L58" s="67" t="s">
        <v>228</v>
      </c>
    </row>
    <row r="59" spans="1:14" hidden="1" outlineLevel="2" x14ac:dyDescent="0.2">
      <c r="A59" s="132" t="s">
        <v>92</v>
      </c>
      <c r="B59" s="133"/>
      <c r="C59" s="42">
        <v>0</v>
      </c>
      <c r="D59" s="42">
        <v>507.77699999999999</v>
      </c>
      <c r="E59" s="42">
        <v>0</v>
      </c>
      <c r="F59" s="42">
        <v>0</v>
      </c>
      <c r="G59" s="42">
        <v>0</v>
      </c>
      <c r="H59" s="42">
        <v>0</v>
      </c>
      <c r="I59" s="42">
        <v>0</v>
      </c>
      <c r="J59" s="42">
        <v>0</v>
      </c>
      <c r="K59" s="42">
        <v>0</v>
      </c>
      <c r="L59" s="42">
        <v>0</v>
      </c>
    </row>
    <row r="60" spans="1:14" hidden="1" outlineLevel="2" x14ac:dyDescent="0.2">
      <c r="A60" s="132" t="s">
        <v>93</v>
      </c>
      <c r="B60" s="133"/>
      <c r="C60" s="42">
        <v>-3.8730000000000002</v>
      </c>
      <c r="D60" s="42">
        <v>-6.0289999999999999</v>
      </c>
      <c r="E60" s="42">
        <v>-6.65</v>
      </c>
      <c r="F60" s="42">
        <v>-6.65</v>
      </c>
      <c r="G60" s="42">
        <v>-9.8339999999999996</v>
      </c>
      <c r="H60" s="42">
        <v>-4.1760000000000002</v>
      </c>
      <c r="I60" s="42">
        <v>-5.5259999999999998</v>
      </c>
      <c r="J60" s="42">
        <v>-6.5000000000000002E-2</v>
      </c>
      <c r="K60" s="42">
        <v>-2.274</v>
      </c>
      <c r="L60" s="42">
        <v>-3.0510000000000002</v>
      </c>
    </row>
    <row r="61" spans="1:14" hidden="1" outlineLevel="2" x14ac:dyDescent="0.2">
      <c r="A61" s="132" t="s">
        <v>94</v>
      </c>
      <c r="B61" s="133"/>
      <c r="C61" s="42">
        <v>35.725999999999999</v>
      </c>
      <c r="D61" s="42">
        <v>38.42</v>
      </c>
      <c r="E61" s="42">
        <v>25.442</v>
      </c>
      <c r="F61" s="42">
        <v>25.442</v>
      </c>
      <c r="G61" s="42">
        <v>8.4369999999999994</v>
      </c>
      <c r="H61" s="42">
        <v>-2.4039999999999999</v>
      </c>
      <c r="I61" s="42">
        <v>6.8540000000000001</v>
      </c>
      <c r="J61" s="42">
        <v>-0.29299999999999998</v>
      </c>
      <c r="K61" s="42">
        <v>-7.0000000000000001E-3</v>
      </c>
      <c r="L61" s="42">
        <v>0.123</v>
      </c>
    </row>
    <row r="62" spans="1:14" hidden="1" outlineLevel="2" x14ac:dyDescent="0.2">
      <c r="A62" s="132" t="s">
        <v>95</v>
      </c>
      <c r="B62" s="133"/>
      <c r="C62" s="42">
        <v>55.146999999999998</v>
      </c>
      <c r="D62" s="42">
        <v>9.0020000000000007</v>
      </c>
      <c r="E62" s="42">
        <v>1.2270000000000001</v>
      </c>
      <c r="F62" s="42">
        <v>1.2270000000000001</v>
      </c>
      <c r="G62" s="42">
        <v>8.2520000000000007</v>
      </c>
      <c r="H62" s="42">
        <v>11.56</v>
      </c>
      <c r="I62" s="42">
        <v>9.6780000000000008</v>
      </c>
      <c r="J62" s="42">
        <v>5.6289999999999996</v>
      </c>
      <c r="K62" s="42">
        <v>-1.6970000000000001</v>
      </c>
      <c r="L62" s="42">
        <v>-2.92</v>
      </c>
    </row>
    <row r="63" spans="1:14" s="22" customFormat="1" hidden="1" outlineLevel="1" x14ac:dyDescent="0.2">
      <c r="A63" s="91" t="s">
        <v>111</v>
      </c>
      <c r="B63" s="87"/>
      <c r="C63" s="153">
        <f t="shared" ref="C63:I63" si="11">IFERROR(C54+C55+C56+C59+C60+C61+C62,"n.a.")</f>
        <v>956.44200000000001</v>
      </c>
      <c r="D63" s="153">
        <f t="shared" si="11"/>
        <v>1053.1179999999999</v>
      </c>
      <c r="E63" s="153">
        <f t="shared" si="11"/>
        <v>1029.0360000000001</v>
      </c>
      <c r="F63" s="153">
        <f t="shared" si="11"/>
        <v>1029.0360000000001</v>
      </c>
      <c r="G63" s="153">
        <f t="shared" si="11"/>
        <v>1045.0569999999996</v>
      </c>
      <c r="H63" s="153">
        <f t="shared" si="11"/>
        <v>1117.5789999999997</v>
      </c>
      <c r="I63" s="153">
        <f t="shared" si="11"/>
        <v>1270.5620000000001</v>
      </c>
      <c r="J63" s="153">
        <f>IFERROR(J54+J55+J56+J59+J60+J61+J62,"n.a.")</f>
        <v>736.29099999999994</v>
      </c>
      <c r="K63" s="153">
        <f>IFERROR(K54+K55+K56+K59+K60+K61+K62,"n.a.")</f>
        <v>1094.2459999999999</v>
      </c>
      <c r="L63" s="153">
        <f>IFERROR(L54+L55+L56+L59+L60+L61+L62,"n.a.")</f>
        <v>1358.1669999999999</v>
      </c>
      <c r="M63" s="130"/>
    </row>
    <row r="64" spans="1:14" hidden="1" outlineLevel="1" x14ac:dyDescent="0.2">
      <c r="A64" s="134" t="s">
        <v>305</v>
      </c>
      <c r="B64" s="133"/>
      <c r="C64" s="67">
        <v>20.562999999999999</v>
      </c>
      <c r="D64" s="67">
        <v>7.61</v>
      </c>
      <c r="E64" s="67">
        <v>-0.65</v>
      </c>
      <c r="F64" s="67">
        <v>-39.481999999999999</v>
      </c>
      <c r="G64" s="67">
        <v>-41.734000000000002</v>
      </c>
      <c r="H64" s="67">
        <v>-12.914999999999999</v>
      </c>
      <c r="I64" s="67">
        <v>37.509</v>
      </c>
      <c r="J64" s="67">
        <v>64.781000000000006</v>
      </c>
      <c r="K64" s="67">
        <v>133.96299999999999</v>
      </c>
      <c r="L64" s="67">
        <v>141.28328688985508</v>
      </c>
    </row>
    <row r="65" spans="1:12" hidden="1" outlineLevel="1" x14ac:dyDescent="0.2">
      <c r="A65" s="134" t="s">
        <v>368</v>
      </c>
      <c r="B65" s="133"/>
      <c r="C65" s="42">
        <v>-130.148</v>
      </c>
      <c r="D65" s="42">
        <v>-170.755</v>
      </c>
      <c r="E65" s="42">
        <v>-75.256</v>
      </c>
      <c r="F65" s="42">
        <v>-104.456</v>
      </c>
      <c r="G65" s="42">
        <v>-135.5</v>
      </c>
      <c r="H65" s="42">
        <v>-119.042</v>
      </c>
      <c r="I65" s="42">
        <v>-141.98500000000001</v>
      </c>
      <c r="J65" s="42">
        <v>-90.691999999999993</v>
      </c>
      <c r="K65" s="42">
        <v>-125.634</v>
      </c>
      <c r="L65" s="42">
        <v>-205.45545425319079</v>
      </c>
    </row>
    <row r="66" spans="1:12" hidden="1" outlineLevel="1" x14ac:dyDescent="0.2">
      <c r="A66" s="134" t="s">
        <v>97</v>
      </c>
      <c r="B66" s="133"/>
      <c r="C66" s="42">
        <v>-74.748999999999995</v>
      </c>
      <c r="D66" s="42">
        <v>-65.305000000000007</v>
      </c>
      <c r="E66" s="42">
        <v>25.440999999999999</v>
      </c>
      <c r="F66" s="42">
        <v>48.28</v>
      </c>
      <c r="G66" s="42">
        <v>-109.76808642764956</v>
      </c>
      <c r="H66" s="42">
        <v>-199.91900000000001</v>
      </c>
      <c r="I66" s="42">
        <v>28.3</v>
      </c>
      <c r="J66" s="42">
        <v>140.64500000000001</v>
      </c>
      <c r="K66" s="42">
        <v>-222.495</v>
      </c>
      <c r="L66" s="42">
        <v>-342.32219752160574</v>
      </c>
    </row>
    <row r="67" spans="1:12" hidden="1" outlineLevel="1" x14ac:dyDescent="0.2">
      <c r="A67" s="134" t="s">
        <v>98</v>
      </c>
      <c r="B67" s="133"/>
      <c r="C67" s="42">
        <v>-34.921999999999997</v>
      </c>
      <c r="D67" s="42">
        <v>-146.54</v>
      </c>
      <c r="E67" s="42">
        <v>12.2</v>
      </c>
      <c r="F67" s="42">
        <v>144.917</v>
      </c>
      <c r="G67" s="42">
        <v>73.644000000000005</v>
      </c>
      <c r="H67" s="42">
        <v>-23.388000000000002</v>
      </c>
      <c r="I67" s="42">
        <v>-44.637</v>
      </c>
      <c r="J67" s="42">
        <v>-35.323999999999998</v>
      </c>
      <c r="K67" s="42">
        <v>-51.351999999999997</v>
      </c>
      <c r="L67" s="42">
        <v>37.375854999999923</v>
      </c>
    </row>
    <row r="68" spans="1:12" hidden="1" outlineLevel="1" x14ac:dyDescent="0.2">
      <c r="A68" s="134" t="s">
        <v>99</v>
      </c>
      <c r="B68" s="133"/>
      <c r="C68" s="42">
        <v>56.674999999999997</v>
      </c>
      <c r="D68" s="42">
        <v>33.561</v>
      </c>
      <c r="E68" s="42">
        <v>73.262</v>
      </c>
      <c r="F68" s="42">
        <v>201.845</v>
      </c>
      <c r="G68" s="42">
        <v>447.38499999999999</v>
      </c>
      <c r="H68" s="42">
        <v>104.663</v>
      </c>
      <c r="I68" s="42">
        <v>18.815000000000001</v>
      </c>
      <c r="J68" s="42">
        <v>-184.60400000000001</v>
      </c>
      <c r="K68" s="42">
        <v>214.512</v>
      </c>
      <c r="L68" s="42">
        <v>272.84186700000004</v>
      </c>
    </row>
    <row r="69" spans="1:12" hidden="1" outlineLevel="1" x14ac:dyDescent="0.2">
      <c r="A69" s="134" t="s">
        <v>100</v>
      </c>
      <c r="B69" s="133"/>
      <c r="C69" s="42">
        <v>-24.065999999999999</v>
      </c>
      <c r="D69" s="42">
        <v>72.718000000000004</v>
      </c>
      <c r="E69" s="42">
        <v>-21.587</v>
      </c>
      <c r="F69" s="42">
        <v>-38.462000000000003</v>
      </c>
      <c r="G69" s="42">
        <v>-39.423000000000002</v>
      </c>
      <c r="H69" s="42">
        <v>-151.42500000000001</v>
      </c>
      <c r="I69" s="79">
        <f>IFERROR(I70+I71,"n.a.")</f>
        <v>-79.606999999999999</v>
      </c>
      <c r="J69" s="79">
        <f>IFERROR(J70+J71,"n.a.")</f>
        <v>82.480999999999995</v>
      </c>
      <c r="K69" s="79">
        <f>IFERROR(K70+K71,"n.a.")</f>
        <v>-35.350999999999999</v>
      </c>
      <c r="L69" s="79">
        <f>IFERROR(L70+L71,"n.a.")</f>
        <v>-22.602629570575285</v>
      </c>
    </row>
    <row r="70" spans="1:12" hidden="1" outlineLevel="2" x14ac:dyDescent="0.2">
      <c r="A70" s="132" t="s">
        <v>347</v>
      </c>
      <c r="B70" s="133"/>
      <c r="C70" s="42" t="s">
        <v>228</v>
      </c>
      <c r="D70" s="42" t="s">
        <v>228</v>
      </c>
      <c r="E70" s="42" t="s">
        <v>228</v>
      </c>
      <c r="F70" s="42" t="s">
        <v>228</v>
      </c>
      <c r="G70" s="42" t="s">
        <v>228</v>
      </c>
      <c r="H70" s="42" t="s">
        <v>228</v>
      </c>
      <c r="I70" s="67">
        <v>-32.161000000000001</v>
      </c>
      <c r="J70" s="67">
        <v>21.925999999999998</v>
      </c>
      <c r="K70" s="67">
        <v>23.745000000000001</v>
      </c>
      <c r="L70" s="67">
        <v>-50.502466804980344</v>
      </c>
    </row>
    <row r="71" spans="1:12" hidden="1" outlineLevel="2" x14ac:dyDescent="0.2">
      <c r="A71" s="132" t="s">
        <v>348</v>
      </c>
      <c r="B71" s="133"/>
      <c r="C71" s="42" t="s">
        <v>228</v>
      </c>
      <c r="D71" s="42" t="s">
        <v>228</v>
      </c>
      <c r="E71" s="42" t="s">
        <v>228</v>
      </c>
      <c r="F71" s="42" t="s">
        <v>228</v>
      </c>
      <c r="G71" s="42" t="s">
        <v>228</v>
      </c>
      <c r="H71" s="42" t="s">
        <v>228</v>
      </c>
      <c r="I71" s="67">
        <v>-47.445999999999998</v>
      </c>
      <c r="J71" s="67">
        <v>60.555</v>
      </c>
      <c r="K71" s="67">
        <v>-59.095999999999997</v>
      </c>
      <c r="L71" s="67">
        <v>27.899837234405059</v>
      </c>
    </row>
    <row r="72" spans="1:12" hidden="1" outlineLevel="1" x14ac:dyDescent="0.2">
      <c r="A72" s="134" t="s">
        <v>319</v>
      </c>
      <c r="B72" s="133"/>
      <c r="C72" s="42">
        <v>-34.597999999999999</v>
      </c>
      <c r="D72" s="42">
        <v>31.245000000000001</v>
      </c>
      <c r="E72" s="42">
        <v>-60.216000000000001</v>
      </c>
      <c r="F72" s="42">
        <v>-155.50200000000001</v>
      </c>
      <c r="G72" s="42">
        <v>-102.01</v>
      </c>
      <c r="H72" s="42">
        <v>-57.226999999999997</v>
      </c>
      <c r="I72" s="80">
        <f>IFERROR(I73+I74,"n.a.")</f>
        <v>-66.254999999999995</v>
      </c>
      <c r="J72" s="80">
        <f>IFERROR(J73+J74,"n.a.")</f>
        <v>-95.225999999999999</v>
      </c>
      <c r="K72" s="80">
        <f>IFERROR(K73+K74,"n.a.")</f>
        <v>-88.814999999999998</v>
      </c>
      <c r="L72" s="80">
        <f>IFERROR(L73+L74,"n.a.")</f>
        <v>-107.6478440551537</v>
      </c>
    </row>
    <row r="73" spans="1:12" hidden="1" outlineLevel="2" x14ac:dyDescent="0.2">
      <c r="A73" s="132" t="s">
        <v>349</v>
      </c>
      <c r="B73" s="133"/>
      <c r="C73" s="42" t="s">
        <v>228</v>
      </c>
      <c r="D73" s="42" t="s">
        <v>228</v>
      </c>
      <c r="E73" s="42" t="s">
        <v>228</v>
      </c>
      <c r="F73" s="42" t="s">
        <v>228</v>
      </c>
      <c r="G73" s="42" t="s">
        <v>228</v>
      </c>
      <c r="H73" s="42" t="s">
        <v>228</v>
      </c>
      <c r="I73" s="67">
        <v>-43.029000000000003</v>
      </c>
      <c r="J73" s="67">
        <v>-37.173000000000002</v>
      </c>
      <c r="K73" s="67">
        <v>-48.750999999999998</v>
      </c>
      <c r="L73" s="67">
        <v>-89.471391055153703</v>
      </c>
    </row>
    <row r="74" spans="1:12" hidden="1" outlineLevel="2" x14ac:dyDescent="0.2">
      <c r="A74" s="132" t="s">
        <v>350</v>
      </c>
      <c r="B74" s="133"/>
      <c r="C74" s="42" t="s">
        <v>228</v>
      </c>
      <c r="D74" s="42" t="s">
        <v>228</v>
      </c>
      <c r="E74" s="42" t="s">
        <v>228</v>
      </c>
      <c r="F74" s="42" t="s">
        <v>228</v>
      </c>
      <c r="G74" s="42" t="s">
        <v>228</v>
      </c>
      <c r="H74" s="42" t="s">
        <v>228</v>
      </c>
      <c r="I74" s="67">
        <v>-23.225999999999999</v>
      </c>
      <c r="J74" s="67">
        <v>-58.052999999999997</v>
      </c>
      <c r="K74" s="67">
        <v>-40.064</v>
      </c>
      <c r="L74" s="67">
        <v>-18.176452999999992</v>
      </c>
    </row>
    <row r="75" spans="1:12" s="22" customFormat="1" collapsed="1" x14ac:dyDescent="0.2">
      <c r="A75" s="126" t="s">
        <v>112</v>
      </c>
      <c r="B75" s="126"/>
      <c r="C75" s="76">
        <f t="shared" ref="C75:I75" si="12">IFERROR(C63+C64+C65+C66+C67+C68+C69+C72,"n.a.")</f>
        <v>735.19699999999989</v>
      </c>
      <c r="D75" s="76">
        <f t="shared" si="12"/>
        <v>815.65199999999993</v>
      </c>
      <c r="E75" s="76">
        <f t="shared" si="12"/>
        <v>982.23000000000013</v>
      </c>
      <c r="F75" s="76">
        <f t="shared" si="12"/>
        <v>1086.1760000000002</v>
      </c>
      <c r="G75" s="76">
        <f t="shared" si="12"/>
        <v>1137.65091357235</v>
      </c>
      <c r="H75" s="76">
        <f t="shared" si="12"/>
        <v>658.32599999999968</v>
      </c>
      <c r="I75" s="76">
        <f t="shared" si="12"/>
        <v>1022.7020000000003</v>
      </c>
      <c r="J75" s="76">
        <f>IFERROR(J63+J64+J65+J66+J67+J68+J69+J72,"n.a.")</f>
        <v>618.35199999999986</v>
      </c>
      <c r="K75" s="76">
        <f>IFERROR(K63+K64+K65+K66+K67+K68+K69+K72,"n.a.")</f>
        <v>919.07399999999984</v>
      </c>
      <c r="L75" s="76">
        <f>IFERROR(L63+L64+L65+L66+L67+L68+L69+L72,"n.a.")</f>
        <v>1131.6398834893296</v>
      </c>
    </row>
    <row r="76" spans="1:12" x14ac:dyDescent="0.2">
      <c r="A76" s="139"/>
      <c r="B76" s="139"/>
      <c r="C76" s="140"/>
      <c r="D76" s="140"/>
      <c r="E76" s="140"/>
      <c r="F76" s="140"/>
      <c r="G76" s="140"/>
      <c r="H76" s="140"/>
      <c r="I76" s="140"/>
      <c r="J76" s="140"/>
      <c r="K76" s="140"/>
      <c r="L76" s="140"/>
    </row>
    <row r="77" spans="1:12" hidden="1" outlineLevel="1" x14ac:dyDescent="0.2">
      <c r="A77" s="141" t="s">
        <v>320</v>
      </c>
      <c r="B77" s="131"/>
      <c r="C77" s="41">
        <v>-286.77199999999999</v>
      </c>
      <c r="D77" s="41">
        <v>-337.86099999999999</v>
      </c>
      <c r="E77" s="41">
        <v>-332.685</v>
      </c>
      <c r="F77" s="86">
        <v>-363.46600000000001</v>
      </c>
      <c r="G77" s="86">
        <v>-470.38299999999998</v>
      </c>
      <c r="H77" s="86">
        <v>-451.80099999999999</v>
      </c>
      <c r="I77" s="228">
        <v>-369.69900000000001</v>
      </c>
      <c r="J77" s="228">
        <v>-124.508</v>
      </c>
      <c r="K77" s="228">
        <v>-314.97500000000002</v>
      </c>
      <c r="L77" s="228">
        <v>-365.81299999999999</v>
      </c>
    </row>
    <row r="78" spans="1:12" hidden="1" outlineLevel="1" x14ac:dyDescent="0.2">
      <c r="A78" s="141" t="s">
        <v>321</v>
      </c>
      <c r="B78" s="131"/>
      <c r="C78" s="41">
        <v>0</v>
      </c>
      <c r="D78" s="41">
        <v>0</v>
      </c>
      <c r="E78" s="41">
        <v>0</v>
      </c>
      <c r="F78" s="86">
        <v>0</v>
      </c>
      <c r="G78" s="86">
        <v>0</v>
      </c>
      <c r="H78" s="86">
        <v>-6.2910000000000004</v>
      </c>
      <c r="I78" s="228">
        <v>3.7639999999999998</v>
      </c>
      <c r="J78" s="228">
        <v>-53.371000000000002</v>
      </c>
      <c r="K78" s="228">
        <v>58.883000000000003</v>
      </c>
      <c r="L78" s="228">
        <v>62.322000000000003</v>
      </c>
    </row>
    <row r="79" spans="1:12" hidden="1" outlineLevel="1" x14ac:dyDescent="0.2">
      <c r="A79" s="134" t="s">
        <v>351</v>
      </c>
      <c r="B79" s="133"/>
      <c r="C79" s="42">
        <v>9.8119999999999994</v>
      </c>
      <c r="D79" s="42">
        <v>9.5839999999999996</v>
      </c>
      <c r="E79" s="42">
        <v>95.703999999999994</v>
      </c>
      <c r="F79" s="67">
        <v>91.626000000000005</v>
      </c>
      <c r="G79" s="67">
        <v>73.504999999999995</v>
      </c>
      <c r="H79" s="67">
        <v>16.222999999999999</v>
      </c>
      <c r="I79" s="80">
        <f>IFERROR(I80+I81,"n.a.")</f>
        <v>7.6609999999999996</v>
      </c>
      <c r="J79" s="80">
        <f>IFERROR(J80+J81,"n.a.")</f>
        <v>5.6840000000000002</v>
      </c>
      <c r="K79" s="80">
        <f>IFERROR(K80+K81,"n.a.")</f>
        <v>8.777000000000001</v>
      </c>
      <c r="L79" s="80">
        <f>IFERROR(L80+L81,"n.a.")</f>
        <v>4.3747880000000006</v>
      </c>
    </row>
    <row r="80" spans="1:12" hidden="1" outlineLevel="2" x14ac:dyDescent="0.2">
      <c r="A80" s="132" t="s">
        <v>352</v>
      </c>
      <c r="B80" s="133"/>
      <c r="C80" s="42" t="s">
        <v>228</v>
      </c>
      <c r="D80" s="42" t="s">
        <v>228</v>
      </c>
      <c r="E80" s="42" t="s">
        <v>228</v>
      </c>
      <c r="F80" s="42" t="s">
        <v>228</v>
      </c>
      <c r="G80" s="42" t="s">
        <v>228</v>
      </c>
      <c r="H80" s="42" t="s">
        <v>228</v>
      </c>
      <c r="I80" s="67">
        <v>7.6459999999999999</v>
      </c>
      <c r="J80" s="67">
        <v>5.4050000000000002</v>
      </c>
      <c r="K80" s="67">
        <v>8.5340000000000007</v>
      </c>
      <c r="L80" s="67">
        <v>4.0981680000000003</v>
      </c>
    </row>
    <row r="81" spans="1:13" hidden="1" outlineLevel="2" x14ac:dyDescent="0.2">
      <c r="A81" s="132" t="s">
        <v>353</v>
      </c>
      <c r="B81" s="133"/>
      <c r="C81" s="42" t="s">
        <v>228</v>
      </c>
      <c r="D81" s="42" t="s">
        <v>228</v>
      </c>
      <c r="E81" s="42" t="s">
        <v>228</v>
      </c>
      <c r="F81" s="42" t="s">
        <v>228</v>
      </c>
      <c r="G81" s="42" t="s">
        <v>228</v>
      </c>
      <c r="H81" s="42" t="s">
        <v>228</v>
      </c>
      <c r="I81" s="67">
        <v>1.4999999999999999E-2</v>
      </c>
      <c r="J81" s="67">
        <v>0.27900000000000003</v>
      </c>
      <c r="K81" s="67">
        <v>0.24299999999999999</v>
      </c>
      <c r="L81" s="67">
        <v>0.27661999999999998</v>
      </c>
    </row>
    <row r="82" spans="1:13" hidden="1" outlineLevel="1" x14ac:dyDescent="0.2">
      <c r="A82" s="134" t="s">
        <v>101</v>
      </c>
      <c r="B82" s="133"/>
      <c r="C82" s="42">
        <v>-10.696</v>
      </c>
      <c r="D82" s="42">
        <v>-11.621</v>
      </c>
      <c r="E82" s="42">
        <v>-7.71</v>
      </c>
      <c r="F82" s="67">
        <v>-8.7170000000000005</v>
      </c>
      <c r="G82" s="67">
        <v>-18.969000000000001</v>
      </c>
      <c r="H82" s="67">
        <v>-11.64</v>
      </c>
      <c r="I82" s="67">
        <v>-20.812000000000001</v>
      </c>
      <c r="J82" s="67">
        <v>-15.526999999999999</v>
      </c>
      <c r="K82" s="67">
        <v>-30.579000000000001</v>
      </c>
      <c r="L82" s="67">
        <v>-31.912368310920559</v>
      </c>
    </row>
    <row r="83" spans="1:13" hidden="1" outlineLevel="1" x14ac:dyDescent="0.2">
      <c r="A83" s="134" t="s">
        <v>307</v>
      </c>
      <c r="B83" s="133"/>
      <c r="C83" s="42">
        <v>0</v>
      </c>
      <c r="D83" s="42">
        <v>0</v>
      </c>
      <c r="E83" s="42">
        <v>100.35299999999999</v>
      </c>
      <c r="F83" s="67">
        <v>100.35299999999999</v>
      </c>
      <c r="G83" s="67">
        <v>8.5559999999999992</v>
      </c>
      <c r="H83" s="67">
        <v>2.6739999999999999</v>
      </c>
      <c r="I83" s="67">
        <v>0</v>
      </c>
      <c r="J83" s="67">
        <v>0</v>
      </c>
      <c r="K83" s="67">
        <v>0</v>
      </c>
      <c r="L83" s="67">
        <v>0</v>
      </c>
    </row>
    <row r="84" spans="1:13" hidden="1" outlineLevel="1" x14ac:dyDescent="0.2">
      <c r="A84" s="134" t="s">
        <v>102</v>
      </c>
      <c r="B84" s="133"/>
      <c r="C84" s="42">
        <v>125.6</v>
      </c>
      <c r="D84" s="42">
        <v>45.6</v>
      </c>
      <c r="E84" s="42">
        <v>0</v>
      </c>
      <c r="F84" s="67">
        <v>0</v>
      </c>
      <c r="G84" s="67">
        <v>0</v>
      </c>
      <c r="H84" s="67">
        <v>0</v>
      </c>
      <c r="I84" s="67">
        <v>0</v>
      </c>
      <c r="J84" s="67">
        <v>0</v>
      </c>
      <c r="K84" s="67">
        <v>0</v>
      </c>
      <c r="L84" s="67">
        <v>0</v>
      </c>
    </row>
    <row r="85" spans="1:13" hidden="1" outlineLevel="1" x14ac:dyDescent="0.2">
      <c r="A85" s="134" t="s">
        <v>369</v>
      </c>
      <c r="B85" s="133"/>
      <c r="C85" s="42">
        <v>17.885999999999999</v>
      </c>
      <c r="D85" s="42">
        <v>0</v>
      </c>
      <c r="E85" s="42">
        <v>0</v>
      </c>
      <c r="F85" s="67">
        <v>0</v>
      </c>
      <c r="G85" s="67">
        <v>-15.638999999999999</v>
      </c>
      <c r="H85" s="67">
        <v>0</v>
      </c>
      <c r="I85" s="67">
        <v>10.7</v>
      </c>
      <c r="J85" s="67">
        <v>6.9000000000000006E-2</v>
      </c>
      <c r="K85" s="67">
        <v>4.407</v>
      </c>
      <c r="L85" s="67">
        <v>0</v>
      </c>
    </row>
    <row r="86" spans="1:13" hidden="1" outlineLevel="1" x14ac:dyDescent="0.2">
      <c r="A86" s="134" t="s">
        <v>308</v>
      </c>
      <c r="B86" s="133"/>
      <c r="C86" s="42">
        <v>0</v>
      </c>
      <c r="D86" s="42">
        <v>0</v>
      </c>
      <c r="E86" s="42">
        <v>0</v>
      </c>
      <c r="F86" s="67">
        <v>0</v>
      </c>
      <c r="G86" s="67">
        <v>0</v>
      </c>
      <c r="H86" s="67">
        <v>-49.722000000000001</v>
      </c>
      <c r="I86" s="67">
        <v>0</v>
      </c>
      <c r="J86" s="67">
        <v>0</v>
      </c>
      <c r="K86" s="67">
        <v>0</v>
      </c>
      <c r="L86" s="67">
        <v>0</v>
      </c>
      <c r="M86" s="184"/>
    </row>
    <row r="87" spans="1:13" hidden="1" outlineLevel="1" x14ac:dyDescent="0.2">
      <c r="A87" s="134" t="s">
        <v>103</v>
      </c>
      <c r="B87" s="133"/>
      <c r="C87" s="42">
        <v>-17.457999999999998</v>
      </c>
      <c r="D87" s="42">
        <v>-12.157</v>
      </c>
      <c r="E87" s="42">
        <v>-4.6920000000000002</v>
      </c>
      <c r="F87" s="67">
        <v>-4.6920000000000002</v>
      </c>
      <c r="G87" s="67">
        <v>17.183</v>
      </c>
      <c r="H87" s="67">
        <v>-65.221999999999994</v>
      </c>
      <c r="I87" s="67">
        <v>-8.9250000000000007</v>
      </c>
      <c r="J87" s="67">
        <v>0</v>
      </c>
      <c r="K87" s="67">
        <v>0</v>
      </c>
      <c r="L87" s="67">
        <v>1.33</v>
      </c>
    </row>
    <row r="88" spans="1:13" hidden="1" outlineLevel="1" x14ac:dyDescent="0.2">
      <c r="A88" s="134" t="s">
        <v>309</v>
      </c>
      <c r="B88" s="133"/>
      <c r="C88" s="42">
        <v>-0.45500000000000002</v>
      </c>
      <c r="D88" s="42">
        <v>-8.4930000000000003</v>
      </c>
      <c r="E88" s="42">
        <v>9.1449999999999996</v>
      </c>
      <c r="F88" s="67">
        <v>9.1449999999999996</v>
      </c>
      <c r="G88" s="67">
        <v>-2.4649999999999999</v>
      </c>
      <c r="H88" s="67">
        <v>152.80799999999999</v>
      </c>
      <c r="I88" s="67">
        <v>0</v>
      </c>
      <c r="J88" s="67">
        <v>0</v>
      </c>
      <c r="K88" s="67">
        <v>0</v>
      </c>
      <c r="L88" s="67">
        <v>0</v>
      </c>
    </row>
    <row r="89" spans="1:13" hidden="1" outlineLevel="1" x14ac:dyDescent="0.2">
      <c r="A89" s="134" t="s">
        <v>362</v>
      </c>
      <c r="B89" s="133"/>
      <c r="C89" s="42"/>
      <c r="D89" s="42">
        <v>0</v>
      </c>
      <c r="E89" s="42">
        <v>0</v>
      </c>
      <c r="F89" s="67">
        <v>0</v>
      </c>
      <c r="G89" s="67">
        <v>0</v>
      </c>
      <c r="H89" s="67">
        <v>0</v>
      </c>
      <c r="I89" s="67">
        <v>0</v>
      </c>
      <c r="J89" s="67">
        <v>0</v>
      </c>
      <c r="K89" s="67">
        <v>-0.45</v>
      </c>
      <c r="L89" s="67">
        <v>0</v>
      </c>
    </row>
    <row r="90" spans="1:13" hidden="1" outlineLevel="1" x14ac:dyDescent="0.2">
      <c r="A90" s="134" t="s">
        <v>104</v>
      </c>
      <c r="B90" s="133"/>
      <c r="C90" s="42">
        <v>0</v>
      </c>
      <c r="D90" s="42">
        <v>0</v>
      </c>
      <c r="E90" s="42">
        <v>266.2</v>
      </c>
      <c r="F90" s="67">
        <v>266.2</v>
      </c>
      <c r="G90" s="67">
        <v>0</v>
      </c>
      <c r="H90" s="67">
        <v>0</v>
      </c>
      <c r="I90" s="67">
        <v>0</v>
      </c>
      <c r="J90" s="67">
        <v>0</v>
      </c>
      <c r="K90" s="67">
        <v>0</v>
      </c>
      <c r="L90" s="67">
        <v>0</v>
      </c>
    </row>
    <row r="91" spans="1:13" hidden="1" outlineLevel="1" x14ac:dyDescent="0.2">
      <c r="A91" s="134" t="s">
        <v>105</v>
      </c>
      <c r="B91" s="133"/>
      <c r="C91" s="42">
        <v>0</v>
      </c>
      <c r="D91" s="42">
        <v>0</v>
      </c>
      <c r="E91" s="42">
        <v>70.748999999999995</v>
      </c>
      <c r="F91" s="67">
        <v>70.748999999999995</v>
      </c>
      <c r="G91" s="67">
        <v>0</v>
      </c>
      <c r="H91" s="67">
        <v>0</v>
      </c>
      <c r="I91" s="67">
        <v>0</v>
      </c>
      <c r="J91" s="67">
        <v>0</v>
      </c>
      <c r="K91" s="67">
        <v>0</v>
      </c>
      <c r="L91" s="67">
        <v>0</v>
      </c>
    </row>
    <row r="92" spans="1:13" hidden="1" outlineLevel="1" x14ac:dyDescent="0.2">
      <c r="A92" s="134" t="s">
        <v>265</v>
      </c>
      <c r="B92" s="133"/>
      <c r="C92" s="42">
        <v>0</v>
      </c>
      <c r="D92" s="42">
        <v>0</v>
      </c>
      <c r="E92" s="42">
        <v>0</v>
      </c>
      <c r="F92" s="67">
        <v>0</v>
      </c>
      <c r="G92" s="67">
        <v>0</v>
      </c>
      <c r="H92" s="67">
        <v>-1.393</v>
      </c>
      <c r="I92" s="67">
        <v>0</v>
      </c>
      <c r="J92" s="67">
        <v>0</v>
      </c>
      <c r="K92" s="67">
        <v>0</v>
      </c>
      <c r="L92" s="67">
        <v>0</v>
      </c>
    </row>
    <row r="93" spans="1:13" hidden="1" outlineLevel="1" x14ac:dyDescent="0.2">
      <c r="A93" s="134" t="s">
        <v>106</v>
      </c>
      <c r="B93" s="133"/>
      <c r="C93" s="42">
        <v>0</v>
      </c>
      <c r="D93" s="42">
        <v>0</v>
      </c>
      <c r="E93" s="42">
        <v>-53.395000000000003</v>
      </c>
      <c r="F93" s="67">
        <v>-53.395000000000003</v>
      </c>
      <c r="G93" s="67">
        <v>0</v>
      </c>
      <c r="H93" s="67">
        <v>0</v>
      </c>
      <c r="I93" s="67">
        <v>0</v>
      </c>
      <c r="J93" s="67">
        <v>0</v>
      </c>
      <c r="K93" s="67">
        <v>0</v>
      </c>
      <c r="L93" s="67">
        <v>0</v>
      </c>
    </row>
    <row r="94" spans="1:13" hidden="1" outlineLevel="1" x14ac:dyDescent="0.2">
      <c r="A94" s="134" t="s">
        <v>343</v>
      </c>
      <c r="B94" s="133"/>
      <c r="C94" s="80">
        <f>IFERROR(C95+C96,"n.a.")</f>
        <v>3.8730000000000002</v>
      </c>
      <c r="D94" s="80">
        <f t="shared" ref="D94:I94" si="13">IFERROR(D95+D96,"n.a.")</f>
        <v>6.0289999999999999</v>
      </c>
      <c r="E94" s="80">
        <f t="shared" si="13"/>
        <v>6.65</v>
      </c>
      <c r="F94" s="79">
        <f t="shared" si="13"/>
        <v>6.65</v>
      </c>
      <c r="G94" s="79">
        <f t="shared" si="13"/>
        <v>9.8339999999999996</v>
      </c>
      <c r="H94" s="79">
        <f t="shared" si="13"/>
        <v>4.1760000000000002</v>
      </c>
      <c r="I94" s="79">
        <f t="shared" si="13"/>
        <v>14.956</v>
      </c>
      <c r="J94" s="67">
        <v>6.5000000000000002E-2</v>
      </c>
      <c r="K94" s="67">
        <v>2.274</v>
      </c>
      <c r="L94" s="67">
        <v>3.23</v>
      </c>
    </row>
    <row r="95" spans="1:13" hidden="1" outlineLevel="2" x14ac:dyDescent="0.2">
      <c r="A95" s="132" t="s">
        <v>310</v>
      </c>
      <c r="B95" s="133"/>
      <c r="C95" s="42">
        <v>0</v>
      </c>
      <c r="D95" s="42">
        <v>0</v>
      </c>
      <c r="E95" s="42">
        <v>0</v>
      </c>
      <c r="F95" s="67">
        <v>0</v>
      </c>
      <c r="G95" s="67">
        <v>0</v>
      </c>
      <c r="H95" s="67">
        <v>0</v>
      </c>
      <c r="I95" s="67">
        <v>9.43</v>
      </c>
      <c r="J95" s="67" t="s">
        <v>228</v>
      </c>
      <c r="K95" s="67" t="s">
        <v>228</v>
      </c>
      <c r="L95" s="67" t="s">
        <v>228</v>
      </c>
    </row>
    <row r="96" spans="1:13" hidden="1" outlineLevel="2" x14ac:dyDescent="0.2">
      <c r="A96" s="132" t="s">
        <v>235</v>
      </c>
      <c r="B96" s="133"/>
      <c r="C96" s="42">
        <v>3.8730000000000002</v>
      </c>
      <c r="D96" s="42">
        <v>6.0289999999999999</v>
      </c>
      <c r="E96" s="42">
        <v>6.65</v>
      </c>
      <c r="F96" s="67">
        <v>6.65</v>
      </c>
      <c r="G96" s="67">
        <v>9.8339999999999996</v>
      </c>
      <c r="H96" s="67">
        <v>4.1760000000000002</v>
      </c>
      <c r="I96" s="67">
        <v>5.5259999999999998</v>
      </c>
      <c r="J96" s="67" t="s">
        <v>228</v>
      </c>
      <c r="K96" s="67" t="s">
        <v>228</v>
      </c>
      <c r="L96" s="67" t="s">
        <v>228</v>
      </c>
    </row>
    <row r="97" spans="1:13" hidden="1" outlineLevel="1" x14ac:dyDescent="0.2">
      <c r="A97" s="134" t="s">
        <v>370</v>
      </c>
      <c r="B97" s="133"/>
      <c r="C97" s="42" t="s">
        <v>228</v>
      </c>
      <c r="D97" s="42" t="s">
        <v>228</v>
      </c>
      <c r="E97" s="42" t="s">
        <v>228</v>
      </c>
      <c r="F97" s="67" t="s">
        <v>228</v>
      </c>
      <c r="G97" s="67" t="s">
        <v>228</v>
      </c>
      <c r="H97" s="67" t="s">
        <v>228</v>
      </c>
      <c r="I97" s="67">
        <v>-13.42</v>
      </c>
      <c r="J97" s="67">
        <v>-64.093000000000004</v>
      </c>
      <c r="K97" s="67">
        <v>15.272</v>
      </c>
      <c r="L97" s="67">
        <v>-0.15016399999999999</v>
      </c>
    </row>
    <row r="98" spans="1:13" s="22" customFormat="1" collapsed="1" x14ac:dyDescent="0.2">
      <c r="A98" s="126" t="s">
        <v>113</v>
      </c>
      <c r="B98" s="126"/>
      <c r="C98" s="76">
        <f t="shared" ref="C98:H98" si="14">IFERROR(C77+C78+C79+C82+C83+C84+C85+C86+C87+C88+C90+C91+C92+C93+C94,"n.a.")</f>
        <v>-158.21000000000004</v>
      </c>
      <c r="D98" s="76">
        <f t="shared" si="14"/>
        <v>-308.91899999999993</v>
      </c>
      <c r="E98" s="76">
        <f t="shared" si="14"/>
        <v>150.31899999999996</v>
      </c>
      <c r="F98" s="76">
        <f t="shared" si="14"/>
        <v>114.45299999999997</v>
      </c>
      <c r="G98" s="76">
        <f t="shared" si="14"/>
        <v>-398.37799999999999</v>
      </c>
      <c r="H98" s="76">
        <f t="shared" si="14"/>
        <v>-410.18799999999999</v>
      </c>
      <c r="I98" s="76">
        <f>IFERROR(I77+I78+I79+I82+I83+I84+I85+I86+I87+I88+I89+I90+I91+I92+I93+I94+I97,"n.a.")</f>
        <v>-375.77500000000003</v>
      </c>
      <c r="J98" s="76">
        <f>IFERROR(J77+J78+J79+J82+J83+J84+J85+J86+J87+J88+J89+J90+J91+J92+J93+J94+J97,"n.a.")</f>
        <v>-251.68099999999998</v>
      </c>
      <c r="K98" s="76">
        <f>IFERROR(K77+K78+K79+K82+K83+K84+K85+K86+K87+K88+K89+K90+K91+K92+K93+K94+K97,"n.a.")</f>
        <v>-256.39100000000008</v>
      </c>
      <c r="L98" s="76">
        <f>IFERROR(L77+L78+L79+L82+L83+L84+L85+L86+L87+L88+L89+L90+L91+L92+L93+L94+L97,"n.a.")</f>
        <v>-326.61874431092053</v>
      </c>
      <c r="M98" s="130"/>
    </row>
    <row r="99" spans="1:13" x14ac:dyDescent="0.2">
      <c r="A99" s="139"/>
      <c r="B99" s="139"/>
      <c r="C99" s="140"/>
      <c r="D99" s="140"/>
      <c r="E99" s="140"/>
      <c r="F99" s="140"/>
      <c r="G99" s="140"/>
      <c r="H99" s="140"/>
      <c r="I99" s="140"/>
      <c r="J99" s="140"/>
      <c r="K99" s="140"/>
      <c r="L99" s="140"/>
    </row>
    <row r="100" spans="1:13" hidden="1" outlineLevel="1" x14ac:dyDescent="0.2">
      <c r="A100" s="141" t="s">
        <v>341</v>
      </c>
      <c r="B100" s="131"/>
      <c r="C100" s="41" t="s">
        <v>228</v>
      </c>
      <c r="D100" s="41" t="s">
        <v>228</v>
      </c>
      <c r="E100" s="41" t="s">
        <v>228</v>
      </c>
      <c r="F100" s="41" t="s">
        <v>228</v>
      </c>
      <c r="G100" s="41" t="s">
        <v>228</v>
      </c>
      <c r="H100" s="41" t="s">
        <v>228</v>
      </c>
      <c r="I100" s="41">
        <v>1706.4570000000001</v>
      </c>
      <c r="J100" s="41">
        <v>2577.1819999999998</v>
      </c>
      <c r="K100" s="41">
        <v>886.24199999999996</v>
      </c>
      <c r="L100" s="41">
        <v>1324.0667628483423</v>
      </c>
    </row>
    <row r="101" spans="1:13" hidden="1" outlineLevel="1" x14ac:dyDescent="0.2">
      <c r="A101" s="141" t="s">
        <v>342</v>
      </c>
      <c r="B101" s="131"/>
      <c r="C101" s="41" t="s">
        <v>228</v>
      </c>
      <c r="D101" s="41" t="s">
        <v>228</v>
      </c>
      <c r="E101" s="41" t="s">
        <v>228</v>
      </c>
      <c r="F101" s="41" t="s">
        <v>228</v>
      </c>
      <c r="G101" s="41" t="s">
        <v>228</v>
      </c>
      <c r="H101" s="41" t="s">
        <v>228</v>
      </c>
      <c r="I101" s="41">
        <v>-1623.3409999999999</v>
      </c>
      <c r="J101" s="41">
        <v>-1806.69</v>
      </c>
      <c r="K101" s="41">
        <v>-1649.4480000000001</v>
      </c>
      <c r="L101" s="41">
        <v>-2113.8297285326016</v>
      </c>
    </row>
    <row r="102" spans="1:13" hidden="1" outlineLevel="1" x14ac:dyDescent="0.2">
      <c r="A102" s="141" t="s">
        <v>107</v>
      </c>
      <c r="B102" s="131"/>
      <c r="C102" s="41">
        <v>5.6310000000000002</v>
      </c>
      <c r="D102" s="41">
        <v>0</v>
      </c>
      <c r="E102" s="41">
        <v>0</v>
      </c>
      <c r="F102" s="41">
        <v>0</v>
      </c>
      <c r="G102" s="41">
        <v>1189.375</v>
      </c>
      <c r="H102" s="41">
        <v>0</v>
      </c>
      <c r="I102" s="41">
        <v>0</v>
      </c>
      <c r="J102" s="41">
        <v>0</v>
      </c>
      <c r="K102" s="41">
        <v>0</v>
      </c>
      <c r="L102" s="41">
        <v>0</v>
      </c>
    </row>
    <row r="103" spans="1:13" hidden="1" outlineLevel="1" x14ac:dyDescent="0.2">
      <c r="A103" s="134" t="s">
        <v>108</v>
      </c>
      <c r="B103" s="133"/>
      <c r="C103" s="42">
        <v>0</v>
      </c>
      <c r="D103" s="42">
        <v>0</v>
      </c>
      <c r="E103" s="42">
        <v>0</v>
      </c>
      <c r="F103" s="42">
        <v>0</v>
      </c>
      <c r="G103" s="42">
        <v>0</v>
      </c>
      <c r="H103" s="42">
        <v>0</v>
      </c>
      <c r="I103" s="42">
        <v>0</v>
      </c>
      <c r="J103" s="42">
        <v>0</v>
      </c>
      <c r="K103" s="42">
        <v>0</v>
      </c>
      <c r="L103" s="42">
        <v>0</v>
      </c>
    </row>
    <row r="104" spans="1:13" hidden="1" outlineLevel="1" x14ac:dyDescent="0.2">
      <c r="A104" s="134" t="s">
        <v>109</v>
      </c>
      <c r="B104" s="133"/>
      <c r="C104" s="42">
        <v>117.08</v>
      </c>
      <c r="D104" s="42">
        <v>232.98599999999999</v>
      </c>
      <c r="E104" s="42">
        <v>-270.73399999999998</v>
      </c>
      <c r="F104" s="42">
        <v>-345.96600000000001</v>
      </c>
      <c r="G104" s="42">
        <v>-2060.3040000000001</v>
      </c>
      <c r="H104" s="42">
        <v>168.952</v>
      </c>
      <c r="I104" s="42">
        <v>0</v>
      </c>
      <c r="J104" s="42">
        <v>0</v>
      </c>
      <c r="K104" s="42">
        <v>0</v>
      </c>
      <c r="L104" s="42">
        <v>0</v>
      </c>
    </row>
    <row r="105" spans="1:13" hidden="1" outlineLevel="1" x14ac:dyDescent="0.2">
      <c r="A105" s="220" t="s">
        <v>258</v>
      </c>
      <c r="B105" s="133"/>
      <c r="C105" s="42">
        <v>-28.492000000000001</v>
      </c>
      <c r="D105" s="42">
        <v>7.6559999999999997</v>
      </c>
      <c r="E105" s="42">
        <v>-1.4690000000000001</v>
      </c>
      <c r="F105" s="42">
        <v>-44.332000000000001</v>
      </c>
      <c r="G105" s="42">
        <v>218.03700000000001</v>
      </c>
      <c r="H105" s="42">
        <v>-31.760999999999999</v>
      </c>
      <c r="I105" s="42">
        <v>-41.715000000000003</v>
      </c>
      <c r="J105" s="42">
        <v>-192.666</v>
      </c>
      <c r="K105" s="42">
        <v>-21.079000000000001</v>
      </c>
      <c r="L105" s="42">
        <v>-141.76063800000003</v>
      </c>
    </row>
    <row r="106" spans="1:13" hidden="1" outlineLevel="1" x14ac:dyDescent="0.2">
      <c r="A106" s="134" t="s">
        <v>114</v>
      </c>
      <c r="B106" s="133"/>
      <c r="C106" s="42">
        <v>-184.846</v>
      </c>
      <c r="D106" s="42">
        <v>-284.55</v>
      </c>
      <c r="E106" s="42">
        <v>-304.03100000000001</v>
      </c>
      <c r="F106" s="42">
        <v>-321.85300000000001</v>
      </c>
      <c r="G106" s="42">
        <v>-280.83199999999999</v>
      </c>
      <c r="H106" s="42">
        <v>-168.40600000000001</v>
      </c>
      <c r="I106" s="42">
        <v>-85.537000000000006</v>
      </c>
      <c r="J106" s="42">
        <v>-38.503999999999998</v>
      </c>
      <c r="K106" s="42">
        <v>-115.071</v>
      </c>
      <c r="L106" s="42">
        <v>-173.26081536742143</v>
      </c>
    </row>
    <row r="107" spans="1:13" hidden="1" outlineLevel="1" x14ac:dyDescent="0.2">
      <c r="A107" s="134" t="s">
        <v>110</v>
      </c>
      <c r="B107" s="133"/>
      <c r="C107" s="42">
        <v>-102.03100000000001</v>
      </c>
      <c r="D107" s="42">
        <v>-167.905</v>
      </c>
      <c r="E107" s="42">
        <v>0</v>
      </c>
      <c r="F107" s="42">
        <v>-2.0529999999999999</v>
      </c>
      <c r="G107" s="42">
        <v>-12.742000000000001</v>
      </c>
      <c r="H107" s="42">
        <v>-8.3659999999999997</v>
      </c>
      <c r="I107" s="42">
        <v>-185.768</v>
      </c>
      <c r="J107" s="42">
        <v>0</v>
      </c>
      <c r="K107" s="42">
        <v>-79.935000000000002</v>
      </c>
      <c r="L107" s="42">
        <v>-185.39500000000001</v>
      </c>
    </row>
    <row r="108" spans="1:13" hidden="1" outlineLevel="1" x14ac:dyDescent="0.2">
      <c r="A108" s="134" t="s">
        <v>357</v>
      </c>
      <c r="B108" s="133"/>
      <c r="C108" s="42">
        <v>0</v>
      </c>
      <c r="D108" s="42">
        <v>0</v>
      </c>
      <c r="E108" s="42">
        <v>0</v>
      </c>
      <c r="F108" s="42">
        <v>0</v>
      </c>
      <c r="G108" s="42">
        <v>0</v>
      </c>
      <c r="H108" s="42">
        <v>0</v>
      </c>
      <c r="I108" s="42">
        <v>-101.157</v>
      </c>
      <c r="J108" s="42">
        <v>-99.924000000000007</v>
      </c>
      <c r="K108" s="42">
        <v>-105.355</v>
      </c>
      <c r="L108" s="42">
        <v>-114.5125238039858</v>
      </c>
    </row>
    <row r="109" spans="1:13" hidden="1" outlineLevel="1" x14ac:dyDescent="0.2">
      <c r="A109" s="134" t="s">
        <v>311</v>
      </c>
      <c r="B109" s="133"/>
      <c r="C109" s="42">
        <v>0</v>
      </c>
      <c r="D109" s="42">
        <v>0</v>
      </c>
      <c r="E109" s="42">
        <v>0</v>
      </c>
      <c r="F109" s="42">
        <v>0</v>
      </c>
      <c r="G109" s="42">
        <v>0</v>
      </c>
      <c r="H109" s="42">
        <v>4.5</v>
      </c>
      <c r="I109" s="42">
        <v>0</v>
      </c>
      <c r="J109" s="42">
        <v>0</v>
      </c>
      <c r="K109" s="42">
        <v>0</v>
      </c>
      <c r="L109" s="42">
        <v>0</v>
      </c>
    </row>
    <row r="110" spans="1:13" s="22" customFormat="1" collapsed="1" x14ac:dyDescent="0.2">
      <c r="A110" s="126" t="s">
        <v>115</v>
      </c>
      <c r="B110" s="126"/>
      <c r="C110" s="76">
        <f t="shared" ref="C110:H110" si="15">IFERROR(C102+C103+C104+C105+C106+C107+C108+C109,"n.a.")</f>
        <v>-192.65800000000002</v>
      </c>
      <c r="D110" s="76">
        <f t="shared" si="15"/>
        <v>-211.81300000000002</v>
      </c>
      <c r="E110" s="76">
        <f t="shared" si="15"/>
        <v>-576.23399999999992</v>
      </c>
      <c r="F110" s="76">
        <f t="shared" si="15"/>
        <v>-714.20400000000006</v>
      </c>
      <c r="G110" s="76">
        <f t="shared" si="15"/>
        <v>-946.46600000000001</v>
      </c>
      <c r="H110" s="76">
        <f t="shared" si="15"/>
        <v>-35.081000000000003</v>
      </c>
      <c r="I110" s="76">
        <f>IFERROR(I100+I101+I102+I103+I104+I105+I106+I107+I108+I109,"n.a.")</f>
        <v>-331.06099999999981</v>
      </c>
      <c r="J110" s="76">
        <f>IFERROR(J100+J101+J102+J103+J104+J105+J106+J107+J108+J109,"n.a.")</f>
        <v>439.3979999999998</v>
      </c>
      <c r="K110" s="76">
        <f>IFERROR(K100+K101+K102+K103+K104+K105+K106+K107+K108+K109,"n.a.")</f>
        <v>-1084.6460000000002</v>
      </c>
      <c r="L110" s="76">
        <f>IFERROR(L100+L101+L102+L103+L104+L105+L106+L107+L108+L109,"n.a.")</f>
        <v>-1404.6919428556666</v>
      </c>
    </row>
    <row r="111" spans="1:13" x14ac:dyDescent="0.2">
      <c r="A111" s="139"/>
      <c r="B111" s="139"/>
      <c r="C111" s="140"/>
      <c r="D111" s="140"/>
      <c r="E111" s="140"/>
      <c r="F111" s="140"/>
      <c r="G111" s="140"/>
      <c r="H111" s="140"/>
      <c r="I111" s="140"/>
      <c r="J111" s="140"/>
      <c r="K111" s="140"/>
      <c r="L111" s="140"/>
    </row>
    <row r="112" spans="1:13" s="22" customFormat="1" x14ac:dyDescent="0.2">
      <c r="A112" s="131" t="s">
        <v>116</v>
      </c>
      <c r="B112" s="131"/>
      <c r="C112" s="41">
        <v>-27.045999999999999</v>
      </c>
      <c r="D112" s="41">
        <v>0.91900000000000004</v>
      </c>
      <c r="E112" s="41">
        <v>0</v>
      </c>
      <c r="F112" s="41">
        <v>29.869</v>
      </c>
      <c r="G112" s="41">
        <v>-135.59700000000001</v>
      </c>
      <c r="H112" s="41">
        <v>37.100999999999999</v>
      </c>
      <c r="I112" s="41">
        <v>0</v>
      </c>
      <c r="J112" s="41">
        <v>0</v>
      </c>
      <c r="K112" s="41">
        <v>0</v>
      </c>
      <c r="L112" s="41">
        <v>0</v>
      </c>
    </row>
    <row r="113" spans="1:13" s="22" customFormat="1" x14ac:dyDescent="0.2">
      <c r="A113" s="122" t="s">
        <v>117</v>
      </c>
      <c r="B113" s="122"/>
      <c r="C113" s="102">
        <f t="shared" ref="C113:J113" si="16">IFERROR(C75+C98+C110+C112,"n.a.")</f>
        <v>357.28299999999984</v>
      </c>
      <c r="D113" s="102">
        <f t="shared" si="16"/>
        <v>295.83899999999994</v>
      </c>
      <c r="E113" s="102">
        <f t="shared" si="16"/>
        <v>556.31500000000005</v>
      </c>
      <c r="F113" s="102">
        <f t="shared" si="16"/>
        <v>516.2940000000001</v>
      </c>
      <c r="G113" s="102">
        <f t="shared" si="16"/>
        <v>-342.79008642764995</v>
      </c>
      <c r="H113" s="102">
        <f t="shared" si="16"/>
        <v>250.15799999999967</v>
      </c>
      <c r="I113" s="102">
        <f t="shared" si="16"/>
        <v>315.86600000000055</v>
      </c>
      <c r="J113" s="102">
        <f t="shared" si="16"/>
        <v>806.06899999999973</v>
      </c>
      <c r="K113" s="102">
        <f>IFERROR(K75+K98+K110+K112,"n.a.")</f>
        <v>-421.96300000000042</v>
      </c>
      <c r="L113" s="102">
        <f>IFERROR(L75+L98+L110+L112,"n.a.")</f>
        <v>-599.6708036772576</v>
      </c>
    </row>
    <row r="114" spans="1:13" x14ac:dyDescent="0.2">
      <c r="A114" s="139"/>
      <c r="B114" s="139"/>
      <c r="C114" s="140"/>
      <c r="D114" s="140"/>
      <c r="E114" s="140"/>
      <c r="F114" s="140"/>
      <c r="G114" s="140"/>
      <c r="H114" s="140"/>
      <c r="I114" s="140"/>
      <c r="J114" s="140"/>
      <c r="K114" s="140"/>
      <c r="L114" s="140"/>
    </row>
    <row r="115" spans="1:13" s="22" customFormat="1" x14ac:dyDescent="0.2">
      <c r="A115" s="187" t="s">
        <v>266</v>
      </c>
      <c r="B115" s="131"/>
      <c r="C115" s="41">
        <v>599.30100000000004</v>
      </c>
      <c r="D115" s="77">
        <f>C118</f>
        <v>892.57299999999987</v>
      </c>
      <c r="E115" s="41">
        <v>817.76700000000005</v>
      </c>
      <c r="F115" s="41">
        <v>1094.4570000000001</v>
      </c>
      <c r="G115" s="77">
        <f>F118</f>
        <v>1523.9280000000001</v>
      </c>
      <c r="H115" s="81">
        <f>G118-0.015</f>
        <v>1109.63991357235</v>
      </c>
      <c r="I115" s="81">
        <f>H118</f>
        <v>1303.8519135723498</v>
      </c>
      <c r="J115" s="81">
        <f>I118</f>
        <v>1600.6259135723503</v>
      </c>
      <c r="K115" s="81">
        <f>J118</f>
        <v>2269.6829135723501</v>
      </c>
      <c r="L115" s="81">
        <f>K118</f>
        <v>1883.5439135723498</v>
      </c>
      <c r="M115" s="227"/>
    </row>
    <row r="116" spans="1:13" x14ac:dyDescent="0.2">
      <c r="A116" s="133" t="s">
        <v>11</v>
      </c>
      <c r="B116" s="133"/>
      <c r="C116" s="42">
        <v>-64.010999999999996</v>
      </c>
      <c r="D116" s="42">
        <v>-69.855999999999995</v>
      </c>
      <c r="E116" s="42">
        <v>23.297999999999998</v>
      </c>
      <c r="F116" s="42">
        <v>-86.822999999999993</v>
      </c>
      <c r="G116" s="42">
        <v>-71.483000000000004</v>
      </c>
      <c r="H116" s="42">
        <v>-55.945999999999998</v>
      </c>
      <c r="I116" s="42">
        <v>-19.091999999999999</v>
      </c>
      <c r="J116" s="42">
        <v>-137.01300000000001</v>
      </c>
      <c r="K116" s="42">
        <v>35.823999999999998</v>
      </c>
      <c r="L116" s="42">
        <v>-0.49106899999999998</v>
      </c>
    </row>
    <row r="117" spans="1:13" x14ac:dyDescent="0.2">
      <c r="A117" s="133" t="s">
        <v>10</v>
      </c>
      <c r="B117" s="133"/>
      <c r="C117" s="42">
        <v>0</v>
      </c>
      <c r="D117" s="42">
        <v>-277.65899999999999</v>
      </c>
      <c r="E117" s="42">
        <v>0</v>
      </c>
      <c r="F117" s="42">
        <v>0</v>
      </c>
      <c r="G117" s="42">
        <v>0</v>
      </c>
      <c r="H117" s="42">
        <v>0</v>
      </c>
      <c r="I117" s="42">
        <v>0</v>
      </c>
      <c r="J117" s="42">
        <v>0</v>
      </c>
      <c r="K117" s="42">
        <v>0</v>
      </c>
      <c r="L117" s="42">
        <v>0</v>
      </c>
    </row>
    <row r="118" spans="1:13" x14ac:dyDescent="0.2">
      <c r="A118" s="122" t="s">
        <v>9</v>
      </c>
      <c r="B118" s="122"/>
      <c r="C118" s="102">
        <f t="shared" ref="C118:H118" si="17">IFERROR(C113+C115+C116+C117,"n.a.")</f>
        <v>892.57299999999987</v>
      </c>
      <c r="D118" s="102">
        <f t="shared" si="17"/>
        <v>840.89699999999982</v>
      </c>
      <c r="E118" s="102">
        <f t="shared" si="17"/>
        <v>1397.38</v>
      </c>
      <c r="F118" s="102">
        <f t="shared" si="17"/>
        <v>1523.9280000000001</v>
      </c>
      <c r="G118" s="102">
        <f t="shared" si="17"/>
        <v>1109.6549135723501</v>
      </c>
      <c r="H118" s="102">
        <f t="shared" si="17"/>
        <v>1303.8519135723498</v>
      </c>
      <c r="I118" s="102">
        <f>IFERROR(I113+I115+I116+I117,"n.a.")</f>
        <v>1600.6259135723503</v>
      </c>
      <c r="J118" s="102">
        <f>IFERROR(J113+J115+J116+J117+0.001,"n.a.")</f>
        <v>2269.6829135723501</v>
      </c>
      <c r="K118" s="102">
        <f>IFERROR(K113+K115+K116+K117,"n.a.")</f>
        <v>1883.5439135723498</v>
      </c>
      <c r="L118" s="102">
        <f>IFERROR(L113+L115+L116+L117,"n.a.")</f>
        <v>1283.3820408950921</v>
      </c>
    </row>
    <row r="121" spans="1:13" s="59" customFormat="1" ht="11.25" customHeight="1" x14ac:dyDescent="0.2">
      <c r="A121" s="259" t="s">
        <v>241</v>
      </c>
      <c r="B121" s="259"/>
      <c r="C121" s="259"/>
      <c r="D121" s="259"/>
      <c r="E121" s="259"/>
      <c r="F121" s="259"/>
      <c r="G121" s="259"/>
      <c r="H121" s="259"/>
      <c r="I121" s="259"/>
      <c r="J121" s="259"/>
      <c r="K121" s="259"/>
      <c r="L121" s="259"/>
    </row>
    <row r="122" spans="1:13" ht="25.5" customHeight="1" x14ac:dyDescent="0.2">
      <c r="A122" s="259" t="s">
        <v>267</v>
      </c>
      <c r="B122" s="259"/>
      <c r="C122" s="259"/>
      <c r="D122" s="259"/>
      <c r="E122" s="259"/>
      <c r="F122" s="259"/>
      <c r="G122" s="259"/>
      <c r="H122" s="259"/>
      <c r="I122" s="259"/>
      <c r="J122" s="259"/>
      <c r="K122" s="259"/>
      <c r="L122" s="259"/>
    </row>
  </sheetData>
  <mergeCells count="2">
    <mergeCell ref="A121:L121"/>
    <mergeCell ref="A122:L122"/>
  </mergeCells>
  <pageMargins left="0" right="0" top="0" bottom="0" header="0" footer="0"/>
  <pageSetup paperSize="9" scale="51" orientation="portrait" r:id="rId1"/>
  <ignoredErrors>
    <ignoredError sqref="H115 F12 H15 I13 J118"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pageSetUpPr fitToPage="1"/>
  </sheetPr>
  <dimension ref="A1:AH123"/>
  <sheetViews>
    <sheetView showGridLines="0" zoomScale="83" zoomScaleNormal="115" zoomScaleSheetLayoutView="100" workbookViewId="0">
      <pane xSplit="2" ySplit="6" topLeftCell="S7" activePane="bottomRight" state="frozen"/>
      <selection activeCell="L10" sqref="L10"/>
      <selection pane="topRight" activeCell="L10" sqref="L10"/>
      <selection pane="bottomLeft" activeCell="L10" sqref="L10"/>
      <selection pane="bottomRight"/>
    </sheetView>
  </sheetViews>
  <sheetFormatPr defaultColWidth="9" defaultRowHeight="12.75" outlineLevelRow="3" outlineLevelCol="1" x14ac:dyDescent="0.2"/>
  <cols>
    <col min="1" max="1" width="75.625" style="2" customWidth="1"/>
    <col min="2" max="2" width="4.625" style="2" customWidth="1"/>
    <col min="3" max="9" width="10.625" style="37" hidden="1" customWidth="1" outlineLevel="1"/>
    <col min="10" max="10" width="10.625" style="37" hidden="1" customWidth="1" outlineLevel="1" collapsed="1"/>
    <col min="11" max="14" width="10.625" style="37" hidden="1" customWidth="1" outlineLevel="1"/>
    <col min="15" max="15" width="10.625" style="37" hidden="1" customWidth="1" outlineLevel="1" collapsed="1"/>
    <col min="16" max="18" width="10.625" style="37" hidden="1" customWidth="1" outlineLevel="1"/>
    <col min="19" max="19" width="10.625" style="37" customWidth="1" collapsed="1"/>
    <col min="20" max="27" width="10.625" style="37" customWidth="1"/>
    <col min="28" max="28" width="10.625" style="2" customWidth="1"/>
    <col min="29" max="31" width="10.625" style="37" customWidth="1"/>
    <col min="32" max="33" width="10.625" style="2" customWidth="1"/>
    <col min="34" max="16384" width="9" style="2"/>
  </cols>
  <sheetData>
    <row r="1" spans="1:33" s="8" customFormat="1" ht="27.75" customHeight="1" x14ac:dyDescent="0.2">
      <c r="A1" s="8" t="s">
        <v>196</v>
      </c>
      <c r="C1" s="9"/>
      <c r="D1" s="9"/>
      <c r="E1" s="9"/>
      <c r="F1" s="9"/>
      <c r="G1" s="9"/>
      <c r="H1" s="9"/>
      <c r="I1" s="9"/>
      <c r="J1" s="9"/>
      <c r="K1" s="9"/>
      <c r="L1" s="9"/>
      <c r="M1" s="9"/>
      <c r="N1" s="9"/>
      <c r="O1" s="9"/>
      <c r="P1" s="9"/>
      <c r="Q1" s="9"/>
      <c r="R1" s="9"/>
      <c r="S1" s="9"/>
      <c r="T1" s="9"/>
      <c r="U1" s="9"/>
      <c r="V1" s="9"/>
      <c r="W1" s="9"/>
      <c r="X1" s="9"/>
      <c r="Y1" s="9"/>
      <c r="Z1" s="9"/>
      <c r="AA1" s="9"/>
      <c r="AC1" s="9"/>
      <c r="AD1" s="9"/>
      <c r="AE1" s="9"/>
    </row>
    <row r="2" spans="1:33" x14ac:dyDescent="0.2">
      <c r="A2" s="30" t="s">
        <v>190</v>
      </c>
      <c r="B2" s="10"/>
      <c r="N2" s="216"/>
    </row>
    <row r="3" spans="1:33" x14ac:dyDescent="0.2">
      <c r="AF3" s="155"/>
      <c r="AG3" s="155"/>
    </row>
    <row r="4" spans="1:33" ht="13.5" thickBot="1" x14ac:dyDescent="0.25">
      <c r="A4" s="11" t="s">
        <v>149</v>
      </c>
      <c r="B4" s="11"/>
      <c r="C4" s="13" t="s">
        <v>163</v>
      </c>
      <c r="D4" s="13" t="s">
        <v>162</v>
      </c>
      <c r="E4" s="13" t="s">
        <v>121</v>
      </c>
      <c r="F4" s="13" t="s">
        <v>26</v>
      </c>
      <c r="G4" s="13" t="s">
        <v>167</v>
      </c>
      <c r="H4" s="171" t="s">
        <v>165</v>
      </c>
      <c r="I4" s="13" t="s">
        <v>122</v>
      </c>
      <c r="J4" s="13" t="s">
        <v>161</v>
      </c>
      <c r="K4" s="13" t="s">
        <v>234</v>
      </c>
      <c r="L4" s="171" t="s">
        <v>248</v>
      </c>
      <c r="M4" s="171" t="s">
        <v>259</v>
      </c>
      <c r="N4" s="13" t="s">
        <v>261</v>
      </c>
      <c r="O4" s="13" t="s">
        <v>271</v>
      </c>
      <c r="P4" s="13" t="s">
        <v>297</v>
      </c>
      <c r="Q4" s="13" t="s">
        <v>302</v>
      </c>
      <c r="R4" s="13" t="s">
        <v>303</v>
      </c>
      <c r="S4" s="13" t="s">
        <v>316</v>
      </c>
      <c r="T4" s="13" t="s">
        <v>323</v>
      </c>
      <c r="U4" s="13" t="s">
        <v>326</v>
      </c>
      <c r="V4" s="13" t="s">
        <v>327</v>
      </c>
      <c r="W4" s="13" t="s">
        <v>354</v>
      </c>
      <c r="X4" s="13" t="s">
        <v>360</v>
      </c>
      <c r="Y4" s="13" t="s">
        <v>364</v>
      </c>
      <c r="Z4" s="13" t="s">
        <v>371</v>
      </c>
      <c r="AA4" s="13" t="s">
        <v>372</v>
      </c>
      <c r="AB4" s="13" t="s">
        <v>379</v>
      </c>
      <c r="AC4" s="13" t="s">
        <v>382</v>
      </c>
      <c r="AD4" s="13" t="s">
        <v>383</v>
      </c>
      <c r="AE4" s="13" t="s">
        <v>386</v>
      </c>
      <c r="AF4" s="13" t="s">
        <v>388</v>
      </c>
      <c r="AG4" s="171" t="s">
        <v>393</v>
      </c>
    </row>
    <row r="5" spans="1:33" x14ac:dyDescent="0.2">
      <c r="C5" s="37" t="s">
        <v>189</v>
      </c>
      <c r="D5" s="129" t="s">
        <v>176</v>
      </c>
      <c r="E5" s="37" t="s">
        <v>189</v>
      </c>
      <c r="F5" s="37" t="s">
        <v>189</v>
      </c>
      <c r="G5" s="129" t="s">
        <v>175</v>
      </c>
      <c r="H5" s="129" t="s">
        <v>176</v>
      </c>
      <c r="I5" s="129" t="s">
        <v>175</v>
      </c>
      <c r="J5" s="129" t="s">
        <v>175</v>
      </c>
      <c r="K5" s="129" t="s">
        <v>175</v>
      </c>
      <c r="L5" s="129" t="s">
        <v>175</v>
      </c>
      <c r="M5" s="129" t="s">
        <v>175</v>
      </c>
      <c r="N5" s="129" t="s">
        <v>175</v>
      </c>
      <c r="O5" s="129" t="s">
        <v>175</v>
      </c>
      <c r="P5" s="129" t="s">
        <v>175</v>
      </c>
      <c r="Q5" s="129" t="s">
        <v>175</v>
      </c>
      <c r="R5" s="129" t="s">
        <v>175</v>
      </c>
      <c r="S5" s="129" t="s">
        <v>175</v>
      </c>
      <c r="T5" s="129" t="s">
        <v>175</v>
      </c>
      <c r="U5" s="129" t="s">
        <v>175</v>
      </c>
      <c r="V5" s="129" t="s">
        <v>175</v>
      </c>
      <c r="W5" s="129" t="s">
        <v>175</v>
      </c>
      <c r="X5" s="129" t="s">
        <v>175</v>
      </c>
      <c r="Y5" s="129" t="s">
        <v>175</v>
      </c>
      <c r="Z5" s="129" t="s">
        <v>175</v>
      </c>
      <c r="AA5" s="129" t="s">
        <v>175</v>
      </c>
      <c r="AB5" s="129" t="s">
        <v>175</v>
      </c>
      <c r="AC5" s="129" t="s">
        <v>175</v>
      </c>
      <c r="AD5" s="129" t="s">
        <v>175</v>
      </c>
      <c r="AE5" s="129" t="s">
        <v>175</v>
      </c>
      <c r="AF5" s="129" t="s">
        <v>175</v>
      </c>
      <c r="AG5" s="129" t="str">
        <f>+AF5</f>
        <v>reported</v>
      </c>
    </row>
    <row r="6" spans="1:33" x14ac:dyDescent="0.2">
      <c r="AB6" s="37"/>
      <c r="AF6" s="37"/>
      <c r="AG6" s="37"/>
    </row>
    <row r="7" spans="1:33" x14ac:dyDescent="0.2">
      <c r="A7" s="167" t="s">
        <v>231</v>
      </c>
      <c r="B7" s="143"/>
      <c r="C7" s="74">
        <f>ROUND('Fin. Highlights - Interim'!C14,1)</f>
        <v>261.5</v>
      </c>
      <c r="D7" s="74">
        <f>ROUND('Fin. Highlights - Interim'!E14,1)</f>
        <v>529.9</v>
      </c>
      <c r="E7" s="74">
        <f>ROUND('Fin. Highlights - Interim'!G14,1)</f>
        <v>801.4</v>
      </c>
      <c r="F7" s="74">
        <f>ROUND('Fin. Highlights - Interim'!I14,1)</f>
        <v>1082.3</v>
      </c>
      <c r="G7" s="74">
        <f>ROUND('Fin. Highlights - Interim'!J14,1)</f>
        <v>270.39999999999998</v>
      </c>
      <c r="H7" s="73">
        <f>ROUND('Fin. Highlights - Interim'!L14,1)</f>
        <v>546.4</v>
      </c>
      <c r="I7" s="74">
        <f>ROUND('Fin. Highlights - Interim'!N14,1)</f>
        <v>836.3</v>
      </c>
      <c r="J7" s="74">
        <f>ROUND('Fin. Highlights - Interim'!P14,1)</f>
        <v>1137.7</v>
      </c>
      <c r="K7" s="74">
        <f>ROUND('Fin. Highlights - Interim'!Q14,1)</f>
        <v>288.10000000000002</v>
      </c>
      <c r="L7" s="74">
        <f>ROUND('Fin. Highlights - Interim'!S14,1)</f>
        <v>587.9</v>
      </c>
      <c r="M7" s="74">
        <f>ROUND('Fin. Highlights - Interim'!U14,1)</f>
        <v>907.7</v>
      </c>
      <c r="N7" s="74">
        <f>ROUND('Fin. Highlights - Interim'!W14,1)</f>
        <v>1234.7</v>
      </c>
      <c r="O7" s="74">
        <f>ROUND('Fin. Highlights - Interim'!X14,1)</f>
        <v>315.60000000000002</v>
      </c>
      <c r="P7" s="74">
        <f>ROUND('Fin. Highlights - Interim'!Z14,1)</f>
        <v>636.1</v>
      </c>
      <c r="Q7" s="74">
        <f>ROUND('Fin. Highlights - Interim'!AB14,1)+0.1</f>
        <v>978.6</v>
      </c>
      <c r="R7" s="74">
        <f>ROUND('Fin. Highlights - Interim'!AD14-0.05,1)</f>
        <v>1310</v>
      </c>
      <c r="S7" s="74">
        <f>ROUND('Fin. Highlights - Interim'!AE14,1)</f>
        <v>244.2</v>
      </c>
      <c r="T7" s="74">
        <f>ROUND('Fin. Highlights - Interim'!AG14,1)</f>
        <v>267.89999999999998</v>
      </c>
      <c r="U7" s="74">
        <f>ROUND('Fin. Highlights - Interim'!AI14,1)</f>
        <v>577.29999999999995</v>
      </c>
      <c r="V7" s="74">
        <f>ROUND('Fin. Highlights - Interim'!AK14,1)</f>
        <v>892.6</v>
      </c>
      <c r="W7" s="74">
        <f>ROUND('Fin. Highlights - Interim'!AL14,1)</f>
        <v>266.5</v>
      </c>
      <c r="X7" s="74">
        <f>ROUND('Fin. Highlights - Interim'!AN14,1)</f>
        <v>573.9</v>
      </c>
      <c r="Y7" s="74">
        <f>ROUND('Fin. Highlights - Interim'!AP14,1)</f>
        <v>894</v>
      </c>
      <c r="Z7" s="74">
        <f>IFERROR(ROUND('Fin. Highlights - Interim'!AR14,1),"n.a.")</f>
        <v>1210.7</v>
      </c>
      <c r="AA7" s="74">
        <f>ROUND('Fin. Highlights - Interim'!AS14,1)</f>
        <v>333.1</v>
      </c>
      <c r="AB7" s="74">
        <f>ROUND('Fin. Highlights - Interim'!AU14,1)</f>
        <v>695.3</v>
      </c>
      <c r="AC7" s="74">
        <f>ROUND('Fin. Highlights - Interim'!AW14,1)</f>
        <v>1079.2</v>
      </c>
      <c r="AD7" s="74">
        <f>IFERROR(ROUND('Fin. Highlights - Interim'!AY14,1),"n.a.")</f>
        <v>1408.3</v>
      </c>
      <c r="AE7" s="74">
        <f>ROUND('Fin. Highlights - Interim'!AZ14,1)</f>
        <v>359.7</v>
      </c>
      <c r="AF7" s="74">
        <f>ROUND('Fin. Highlights - Interim'!BB14,1)</f>
        <v>739.1</v>
      </c>
      <c r="AG7" s="74">
        <f>ROUND('Fin. Highlights - Interim'!BD14,1)</f>
        <v>1115.8</v>
      </c>
    </row>
    <row r="8" spans="1:33" x14ac:dyDescent="0.2">
      <c r="A8" s="134" t="s">
        <v>35</v>
      </c>
      <c r="B8" s="143"/>
      <c r="C8" s="42">
        <v>-70</v>
      </c>
      <c r="D8" s="42">
        <v>-147.80000000000001</v>
      </c>
      <c r="E8" s="42">
        <v>-221.9</v>
      </c>
      <c r="F8" s="74">
        <f>'Cash Flow - FY'!F8</f>
        <v>-342.3</v>
      </c>
      <c r="G8" s="42">
        <v>-98.3</v>
      </c>
      <c r="H8" s="42">
        <v>-215.7</v>
      </c>
      <c r="I8" s="42">
        <v>-327.60000000000002</v>
      </c>
      <c r="J8" s="74">
        <f>'Cash Flow - FY'!G8</f>
        <v>-489.4</v>
      </c>
      <c r="K8" s="42">
        <v>-85.3</v>
      </c>
      <c r="L8" s="42">
        <v>-179.2</v>
      </c>
      <c r="M8" s="67">
        <v>-296.7</v>
      </c>
      <c r="N8" s="80">
        <f t="shared" ref="N8:W8" si="0">IFERROR(ROUND(N77+N82,1),"n.a.")</f>
        <v>-463.4</v>
      </c>
      <c r="O8" s="80">
        <f t="shared" si="0"/>
        <v>-78</v>
      </c>
      <c r="P8" s="80">
        <f t="shared" si="0"/>
        <v>-167.7</v>
      </c>
      <c r="Q8" s="80">
        <f t="shared" si="0"/>
        <v>-242.3</v>
      </c>
      <c r="R8" s="80">
        <f t="shared" si="0"/>
        <v>-390.5</v>
      </c>
      <c r="S8" s="80">
        <f t="shared" si="0"/>
        <v>-56.6</v>
      </c>
      <c r="T8" s="80">
        <f t="shared" si="0"/>
        <v>-81.400000000000006</v>
      </c>
      <c r="U8" s="80">
        <f t="shared" si="0"/>
        <v>-106.1</v>
      </c>
      <c r="V8" s="80">
        <f t="shared" si="0"/>
        <v>-140</v>
      </c>
      <c r="W8" s="80">
        <f t="shared" si="0"/>
        <v>-89.8</v>
      </c>
      <c r="X8" s="80">
        <f>IFERROR(ROUND(X77+X82+0.01,1),"n.a.")</f>
        <v>-152.80000000000001</v>
      </c>
      <c r="Y8" s="80">
        <f t="shared" ref="Y8:AG8" si="1">IFERROR(ROUND(Y77+Y82,1),"n.a.")</f>
        <v>-213.3</v>
      </c>
      <c r="Z8" s="80">
        <f t="shared" si="1"/>
        <v>-345.6</v>
      </c>
      <c r="AA8" s="80">
        <f t="shared" si="1"/>
        <v>-48.6</v>
      </c>
      <c r="AB8" s="79">
        <f t="shared" si="1"/>
        <v>-115.7</v>
      </c>
      <c r="AC8" s="80">
        <f t="shared" si="1"/>
        <v>-188.7</v>
      </c>
      <c r="AD8" s="80">
        <f t="shared" si="1"/>
        <v>-397.7</v>
      </c>
      <c r="AE8" s="80">
        <f t="shared" si="1"/>
        <v>-53.2</v>
      </c>
      <c r="AF8" s="79">
        <f t="shared" si="1"/>
        <v>-123.5</v>
      </c>
      <c r="AG8" s="79">
        <f t="shared" si="1"/>
        <v>-201.2</v>
      </c>
    </row>
    <row r="9" spans="1:33" x14ac:dyDescent="0.2">
      <c r="A9" s="134" t="s">
        <v>315</v>
      </c>
      <c r="B9" s="143"/>
      <c r="C9" s="42">
        <v>0</v>
      </c>
      <c r="D9" s="42">
        <v>0</v>
      </c>
      <c r="E9" s="42">
        <v>0</v>
      </c>
      <c r="F9" s="74">
        <f>'Cash Flow - FY'!F9</f>
        <v>0</v>
      </c>
      <c r="G9" s="42">
        <v>0</v>
      </c>
      <c r="H9" s="42">
        <v>0</v>
      </c>
      <c r="I9" s="42">
        <v>0</v>
      </c>
      <c r="J9" s="74">
        <f>'Cash Flow - FY'!G9</f>
        <v>0</v>
      </c>
      <c r="K9" s="42">
        <v>0</v>
      </c>
      <c r="L9" s="42">
        <v>0</v>
      </c>
      <c r="M9" s="67">
        <v>0</v>
      </c>
      <c r="N9" s="74">
        <f>'Cash Flow - FY'!H9</f>
        <v>0</v>
      </c>
      <c r="O9" s="42">
        <v>-3.2</v>
      </c>
      <c r="P9" s="42">
        <v>-17.2</v>
      </c>
      <c r="Q9" s="42">
        <v>-25.7</v>
      </c>
      <c r="R9" s="74">
        <f>'Cash Flow - FY'!I9</f>
        <v>-51.2</v>
      </c>
      <c r="S9" s="42">
        <v>-22.9</v>
      </c>
      <c r="T9" s="42">
        <v>-47</v>
      </c>
      <c r="U9" s="42">
        <v>-62.2</v>
      </c>
      <c r="V9" s="74">
        <f>'Cash Flow - FY'!J9</f>
        <v>-68.5</v>
      </c>
      <c r="W9" s="42">
        <v>-26.7</v>
      </c>
      <c r="X9" s="42">
        <v>-49.9</v>
      </c>
      <c r="Y9" s="42">
        <v>-59.6</v>
      </c>
      <c r="Z9" s="74">
        <f>'Cash Flow - FY'!K9</f>
        <v>-122.4</v>
      </c>
      <c r="AA9" s="42">
        <v>-8.1</v>
      </c>
      <c r="AB9" s="42">
        <v>-41.3</v>
      </c>
      <c r="AC9" s="42">
        <v>-50.5</v>
      </c>
      <c r="AD9" s="74">
        <f>'Cash Flow - FY'!L9</f>
        <v>-79.7</v>
      </c>
      <c r="AE9" s="249">
        <v>-15.1</v>
      </c>
      <c r="AF9" s="42">
        <v>-41.6</v>
      </c>
      <c r="AG9" s="42">
        <v>-69.099999999999994</v>
      </c>
    </row>
    <row r="10" spans="1:33" x14ac:dyDescent="0.2">
      <c r="A10" s="29" t="s">
        <v>177</v>
      </c>
      <c r="B10" s="144"/>
      <c r="C10" s="67">
        <v>-783.8</v>
      </c>
      <c r="D10" s="67">
        <v>-713.7</v>
      </c>
      <c r="E10" s="67">
        <v>-777.5</v>
      </c>
      <c r="F10" s="73">
        <f>'Cash Flow - FY'!F10</f>
        <v>31.5</v>
      </c>
      <c r="G10" s="67">
        <v>-892.2</v>
      </c>
      <c r="H10" s="67">
        <v>-768.3</v>
      </c>
      <c r="I10" s="67">
        <v>-900.1</v>
      </c>
      <c r="J10" s="73">
        <f>'Cash Flow - FY'!G10</f>
        <v>123.8</v>
      </c>
      <c r="K10" s="67">
        <v>-928.80000000000007</v>
      </c>
      <c r="L10" s="67">
        <v>-997.7</v>
      </c>
      <c r="M10" s="67">
        <v>-1245.0999999999999</v>
      </c>
      <c r="N10" s="73">
        <f>'Cash Flow - FY'!H10</f>
        <v>-388.2</v>
      </c>
      <c r="O10" s="67">
        <v>-836</v>
      </c>
      <c r="P10" s="42">
        <v>-825.9</v>
      </c>
      <c r="Q10" s="42">
        <v>-962.7</v>
      </c>
      <c r="R10" s="73">
        <f>'Cash Flow - FY'!I10</f>
        <v>-60.800000000000004</v>
      </c>
      <c r="S10" s="67">
        <v>-861.2</v>
      </c>
      <c r="T10" s="42">
        <v>-729.3</v>
      </c>
      <c r="U10" s="42">
        <v>-902.3</v>
      </c>
      <c r="V10" s="73">
        <f>'Cash Flow - FY'!J10</f>
        <v>-92.8</v>
      </c>
      <c r="W10" s="67">
        <v>-717.19999999999993</v>
      </c>
      <c r="X10" s="42">
        <v>-643.9</v>
      </c>
      <c r="Y10" s="42">
        <v>-705.59999999999991</v>
      </c>
      <c r="Z10" s="73">
        <f>'Cash Flow - FY'!K10</f>
        <v>50.9</v>
      </c>
      <c r="AA10" s="67">
        <v>-841.6</v>
      </c>
      <c r="AB10" s="42">
        <v>-703</v>
      </c>
      <c r="AC10" s="42">
        <v>-752.6</v>
      </c>
      <c r="AD10" s="73">
        <f>'Cash Flow - FY'!L10</f>
        <v>77.90000000000002</v>
      </c>
      <c r="AE10" s="249">
        <v>-868.8</v>
      </c>
      <c r="AF10" s="42">
        <v>-875.6</v>
      </c>
      <c r="AG10" s="42">
        <v>-876</v>
      </c>
    </row>
    <row r="11" spans="1:33" x14ac:dyDescent="0.2">
      <c r="A11" s="38" t="s">
        <v>159</v>
      </c>
      <c r="B11" s="145"/>
      <c r="C11" s="118">
        <f t="shared" ref="C11:Y11" si="2">IFERROR(C7+C8+C9+C10,"n.a.")</f>
        <v>-592.29999999999995</v>
      </c>
      <c r="D11" s="118">
        <f t="shared" si="2"/>
        <v>-331.60000000000008</v>
      </c>
      <c r="E11" s="118">
        <f t="shared" si="2"/>
        <v>-198</v>
      </c>
      <c r="F11" s="118">
        <f t="shared" si="2"/>
        <v>771.5</v>
      </c>
      <c r="G11" s="118">
        <f t="shared" si="2"/>
        <v>-720.10000000000014</v>
      </c>
      <c r="H11" s="118">
        <f t="shared" si="2"/>
        <v>-437.59999999999997</v>
      </c>
      <c r="I11" s="118">
        <f t="shared" si="2"/>
        <v>-391.40000000000009</v>
      </c>
      <c r="J11" s="118">
        <f t="shared" si="2"/>
        <v>772.1</v>
      </c>
      <c r="K11" s="118">
        <f t="shared" si="2"/>
        <v>-726</v>
      </c>
      <c r="L11" s="118">
        <f t="shared" si="2"/>
        <v>-589</v>
      </c>
      <c r="M11" s="118">
        <f t="shared" si="2"/>
        <v>-634.09999999999991</v>
      </c>
      <c r="N11" s="118">
        <f t="shared" si="2"/>
        <v>383.10000000000008</v>
      </c>
      <c r="O11" s="118">
        <f t="shared" si="2"/>
        <v>-601.59999999999991</v>
      </c>
      <c r="P11" s="118">
        <f t="shared" si="2"/>
        <v>-374.69999999999993</v>
      </c>
      <c r="Q11" s="118">
        <f t="shared" si="2"/>
        <v>-252.10000000000014</v>
      </c>
      <c r="R11" s="118">
        <f t="shared" si="2"/>
        <v>807.5</v>
      </c>
      <c r="S11" s="118">
        <f t="shared" si="2"/>
        <v>-696.5</v>
      </c>
      <c r="T11" s="118">
        <f t="shared" si="2"/>
        <v>-589.79999999999995</v>
      </c>
      <c r="U11" s="118">
        <f t="shared" si="2"/>
        <v>-493.3</v>
      </c>
      <c r="V11" s="118">
        <f t="shared" si="2"/>
        <v>591.30000000000007</v>
      </c>
      <c r="W11" s="118">
        <f t="shared" si="2"/>
        <v>-567.19999999999993</v>
      </c>
      <c r="X11" s="118">
        <f t="shared" si="2"/>
        <v>-272.7</v>
      </c>
      <c r="Y11" s="118">
        <f t="shared" si="2"/>
        <v>-84.499999999999886</v>
      </c>
      <c r="Z11" s="118">
        <f t="shared" ref="Z11:AG11" si="3">IFERROR(Z7+Z8+Z9+Z10,"n.a.")</f>
        <v>793.6</v>
      </c>
      <c r="AA11" s="118">
        <f t="shared" si="3"/>
        <v>-565.20000000000005</v>
      </c>
      <c r="AB11" s="118">
        <f t="shared" si="3"/>
        <v>-164.70000000000005</v>
      </c>
      <c r="AC11" s="118">
        <f t="shared" si="3"/>
        <v>87.399999999999977</v>
      </c>
      <c r="AD11" s="118">
        <f t="shared" si="3"/>
        <v>1008.7999999999998</v>
      </c>
      <c r="AE11" s="118">
        <f t="shared" si="3"/>
        <v>-577.4</v>
      </c>
      <c r="AF11" s="118">
        <f t="shared" si="3"/>
        <v>-301.60000000000002</v>
      </c>
      <c r="AG11" s="118">
        <f t="shared" si="3"/>
        <v>-30.500000000000114</v>
      </c>
    </row>
    <row r="12" spans="1:33" x14ac:dyDescent="0.2">
      <c r="A12" s="29" t="s">
        <v>19</v>
      </c>
      <c r="B12" s="144"/>
      <c r="C12" s="79">
        <f>C65</f>
        <v>-26.7</v>
      </c>
      <c r="D12" s="79">
        <f>D65</f>
        <v>-59.9</v>
      </c>
      <c r="E12" s="79">
        <f>E65</f>
        <v>-95.5</v>
      </c>
      <c r="F12" s="73">
        <f>'Cash Flow - FY'!F12</f>
        <v>-104.40600000000001</v>
      </c>
      <c r="G12" s="79">
        <f>G65</f>
        <v>-45.664000000000001</v>
      </c>
      <c r="H12" s="67">
        <v>-51.8</v>
      </c>
      <c r="I12" s="67">
        <v>-116.9</v>
      </c>
      <c r="J12" s="73">
        <f>'Cash Flow - FY'!G12</f>
        <v>-135.5</v>
      </c>
      <c r="K12" s="79">
        <f t="shared" ref="K12:X12" si="4">ROUND(K65,1)</f>
        <v>-31.1</v>
      </c>
      <c r="L12" s="79">
        <f t="shared" si="4"/>
        <v>-67.3</v>
      </c>
      <c r="M12" s="79">
        <f t="shared" si="4"/>
        <v>-101.1</v>
      </c>
      <c r="N12" s="79">
        <f t="shared" si="4"/>
        <v>-119</v>
      </c>
      <c r="O12" s="79">
        <f t="shared" si="4"/>
        <v>-30.1</v>
      </c>
      <c r="P12" s="79">
        <f t="shared" si="4"/>
        <v>-76</v>
      </c>
      <c r="Q12" s="79">
        <f t="shared" si="4"/>
        <v>-113.4</v>
      </c>
      <c r="R12" s="79">
        <f t="shared" si="4"/>
        <v>-142</v>
      </c>
      <c r="S12" s="79">
        <f t="shared" si="4"/>
        <v>-31.4</v>
      </c>
      <c r="T12" s="79">
        <f t="shared" si="4"/>
        <v>-53.8</v>
      </c>
      <c r="U12" s="79">
        <f t="shared" si="4"/>
        <v>-70</v>
      </c>
      <c r="V12" s="79">
        <f t="shared" si="4"/>
        <v>-90.7</v>
      </c>
      <c r="W12" s="79">
        <f t="shared" si="4"/>
        <v>-37.1</v>
      </c>
      <c r="X12" s="79">
        <f t="shared" si="4"/>
        <v>-72</v>
      </c>
      <c r="Y12" s="79">
        <f>ROUND(Y65,1)</f>
        <v>-98.8</v>
      </c>
      <c r="Z12" s="73">
        <f>'Cash Flow - FY'!K12</f>
        <v>-125.634</v>
      </c>
      <c r="AA12" s="79">
        <f>ROUND(AA65,1)</f>
        <v>-32.9</v>
      </c>
      <c r="AB12" s="79">
        <f>ROUND(AB65,1)</f>
        <v>-104.4</v>
      </c>
      <c r="AC12" s="79">
        <f>ROUND(AC65,1)</f>
        <v>-151.19999999999999</v>
      </c>
      <c r="AD12" s="73">
        <f>'Cash Flow - FY'!L12</f>
        <v>-205.46545425319079</v>
      </c>
      <c r="AE12" s="79">
        <f>ROUND(AE65,1)</f>
        <v>-29</v>
      </c>
      <c r="AF12" s="79">
        <f>ROUND(AF65,1)</f>
        <v>-61.3</v>
      </c>
      <c r="AG12" s="79">
        <f>ROUND(AG65,1)</f>
        <v>-105.1</v>
      </c>
    </row>
    <row r="13" spans="1:33" x14ac:dyDescent="0.2">
      <c r="A13" s="29" t="s">
        <v>365</v>
      </c>
      <c r="B13" s="144"/>
      <c r="C13" s="79">
        <f>IFERROR(-C57-C58,"n.a.")</f>
        <v>-133.76499999999999</v>
      </c>
      <c r="D13" s="79">
        <f>IFERROR(-D57-D58,"n.a.")</f>
        <v>-252.44499999999999</v>
      </c>
      <c r="E13" s="79">
        <f>IFERROR(-E57-E58,"n.a.")</f>
        <v>-351.56599999999997</v>
      </c>
      <c r="F13" s="73">
        <f>'Cash Flow - FY'!F13</f>
        <v>-427.19</v>
      </c>
      <c r="G13" s="79">
        <f>IFERROR(-G57-G58,"n.a.")</f>
        <v>-76.962999999999994</v>
      </c>
      <c r="H13" s="79">
        <f>IFERROR(-H57-H58,"n.a.")</f>
        <v>-226.35599999999999</v>
      </c>
      <c r="I13" s="79">
        <f>IFERROR(-I57-I58,"n.a.")</f>
        <v>-289.94799999999998</v>
      </c>
      <c r="J13" s="73">
        <f>'Cash Flow - FY'!G13</f>
        <v>-362.61</v>
      </c>
      <c r="K13" s="79">
        <f>IFERROR(-K57-K58,"n.a.")</f>
        <v>-55.185000000000002</v>
      </c>
      <c r="L13" s="79">
        <f>IFERROR(-L57-L58,"n.a.")</f>
        <v>-117.946</v>
      </c>
      <c r="M13" s="79">
        <f>IFERROR(-M57-M58,"n.a.")</f>
        <v>-138.79900000000001</v>
      </c>
      <c r="N13" s="73">
        <f>'Cash Flow - FY'!H13</f>
        <v>-196.31100000000001</v>
      </c>
      <c r="O13" s="79">
        <f>IFERROR(-O56,"n.a.")</f>
        <v>-48.051000000000002</v>
      </c>
      <c r="P13" s="67">
        <f>-99.8-10</f>
        <v>-109.8</v>
      </c>
      <c r="Q13" s="67">
        <v>-175.8</v>
      </c>
      <c r="R13" s="73">
        <f>'Cash Flow - FY'!I13</f>
        <v>-109.37900000000002</v>
      </c>
      <c r="S13" s="79">
        <f t="shared" ref="S13:X13" si="5">IFERROR(ROUND(-S56,1),"n.a.")</f>
        <v>-32.5</v>
      </c>
      <c r="T13" s="79">
        <f t="shared" si="5"/>
        <v>-73.2</v>
      </c>
      <c r="U13" s="79">
        <f t="shared" si="5"/>
        <v>-113.3</v>
      </c>
      <c r="V13" s="79">
        <f>IFERROR(ROUND(-V56+0.1,1),"n.a.")</f>
        <v>-156.4</v>
      </c>
      <c r="W13" s="79">
        <f t="shared" si="5"/>
        <v>-40</v>
      </c>
      <c r="X13" s="79">
        <f t="shared" si="5"/>
        <v>-71.8</v>
      </c>
      <c r="Y13" s="79">
        <f>IFERROR(ROUND(-Y56,1)+0.1,"n.a.")</f>
        <v>-106.9</v>
      </c>
      <c r="Z13" s="73">
        <f>'Cash Flow - FY'!K13</f>
        <v>-144.28100000000001</v>
      </c>
      <c r="AA13" s="79">
        <f>IFERROR(ROUND(-AA56,1),"n.a.")</f>
        <v>-43.6</v>
      </c>
      <c r="AB13" s="79">
        <f>IFERROR(ROUND(-AB56,1),"n.a.")</f>
        <v>-89.6</v>
      </c>
      <c r="AC13" s="79">
        <f>IFERROR(ROUND(-AC56,1),"n.a.")</f>
        <v>-145.1</v>
      </c>
      <c r="AD13" s="73">
        <f>'Cash Flow - FY'!L13</f>
        <v>-201.70599999999999</v>
      </c>
      <c r="AE13" s="79">
        <f>IFERROR(ROUND(-AE56,1),"n.a.")</f>
        <v>-52.2</v>
      </c>
      <c r="AF13" s="79">
        <f>IFERROR(ROUND(-AF56,1),"n.a.")</f>
        <v>-106.8</v>
      </c>
      <c r="AG13" s="79">
        <f>IFERROR(ROUND(-AG56,1),"n.a.")</f>
        <v>-150.1</v>
      </c>
    </row>
    <row r="14" spans="1:33" x14ac:dyDescent="0.2">
      <c r="A14" s="29" t="s">
        <v>123</v>
      </c>
      <c r="B14" s="144"/>
      <c r="C14" s="67">
        <v>-85.6</v>
      </c>
      <c r="D14" s="67">
        <v>12.600000000000023</v>
      </c>
      <c r="E14" s="67">
        <v>19.3</v>
      </c>
      <c r="F14" s="73">
        <f>'Cash Flow - FY'!F14</f>
        <v>96.4</v>
      </c>
      <c r="G14" s="67">
        <v>-38.899999999999977</v>
      </c>
      <c r="H14" s="67">
        <v>-40.9</v>
      </c>
      <c r="I14" s="67">
        <v>-70.7</v>
      </c>
      <c r="J14" s="73">
        <f>'Cash Flow - FY'!G14</f>
        <v>-84</v>
      </c>
      <c r="K14" s="67">
        <v>-49.9</v>
      </c>
      <c r="L14" s="67">
        <v>-55.4</v>
      </c>
      <c r="M14" s="67">
        <v>-87.1</v>
      </c>
      <c r="N14" s="73">
        <f>'Cash Flow - FY'!H14</f>
        <v>-154.80000000000001</v>
      </c>
      <c r="O14" s="67">
        <v>-15.95</v>
      </c>
      <c r="P14" s="42">
        <v>-62.6</v>
      </c>
      <c r="Q14" s="42">
        <v>-70.199999999999989</v>
      </c>
      <c r="R14" s="73">
        <f>'Cash Flow - FY'!I14</f>
        <v>-194.6</v>
      </c>
      <c r="S14" s="67">
        <v>6.9</v>
      </c>
      <c r="T14" s="67">
        <v>-40.799999999999997</v>
      </c>
      <c r="U14" s="67">
        <v>-68.7</v>
      </c>
      <c r="V14" s="73">
        <f>'Cash Flow - FY'!J14</f>
        <v>-102.9</v>
      </c>
      <c r="W14" s="67">
        <v>-13</v>
      </c>
      <c r="X14" s="67">
        <v>-68.3</v>
      </c>
      <c r="Y14" s="67">
        <v>-90.3</v>
      </c>
      <c r="Z14" s="73">
        <f>'Cash Flow - FY'!K14</f>
        <v>-96.3</v>
      </c>
      <c r="AA14" s="67">
        <v>-31.2</v>
      </c>
      <c r="AB14" s="67">
        <v>-105</v>
      </c>
      <c r="AC14" s="67">
        <v>-114.3</v>
      </c>
      <c r="AD14" s="73">
        <f>'Cash Flow - FY'!L14</f>
        <v>-86.1</v>
      </c>
      <c r="AE14" s="249">
        <v>-32.799999999999997</v>
      </c>
      <c r="AF14" s="67">
        <f>-65.1-0.1</f>
        <v>-65.199999999999989</v>
      </c>
      <c r="AG14" s="67">
        <f>-81.9</f>
        <v>-81.900000000000006</v>
      </c>
    </row>
    <row r="15" spans="1:33" s="22" customFormat="1" x14ac:dyDescent="0.2">
      <c r="A15" s="38" t="s">
        <v>331</v>
      </c>
      <c r="B15" s="145"/>
      <c r="C15" s="118">
        <f t="shared" ref="C15:Y15" si="6">IFERROR(C11+C12+C13+C14,"n.a.")</f>
        <v>-838.36500000000001</v>
      </c>
      <c r="D15" s="118">
        <f t="shared" si="6"/>
        <v>-631.34500000000003</v>
      </c>
      <c r="E15" s="118">
        <f t="shared" si="6"/>
        <v>-625.76600000000008</v>
      </c>
      <c r="F15" s="118">
        <f t="shared" si="6"/>
        <v>336.30400000000009</v>
      </c>
      <c r="G15" s="118">
        <f t="shared" si="6"/>
        <v>-881.62700000000007</v>
      </c>
      <c r="H15" s="118">
        <f t="shared" si="6"/>
        <v>-756.65599999999995</v>
      </c>
      <c r="I15" s="118">
        <f t="shared" si="6"/>
        <v>-868.94800000000009</v>
      </c>
      <c r="J15" s="118">
        <f t="shared" si="6"/>
        <v>189.99</v>
      </c>
      <c r="K15" s="118">
        <f t="shared" si="6"/>
        <v>-862.18500000000006</v>
      </c>
      <c r="L15" s="118">
        <f t="shared" si="6"/>
        <v>-829.64599999999996</v>
      </c>
      <c r="M15" s="118">
        <f t="shared" si="6"/>
        <v>-961.09899999999993</v>
      </c>
      <c r="N15" s="118">
        <f t="shared" si="6"/>
        <v>-87.010999999999939</v>
      </c>
      <c r="O15" s="118">
        <f t="shared" si="6"/>
        <v>-695.70100000000002</v>
      </c>
      <c r="P15" s="118">
        <f t="shared" si="6"/>
        <v>-623.09999999999991</v>
      </c>
      <c r="Q15" s="118">
        <f t="shared" si="6"/>
        <v>-611.50000000000023</v>
      </c>
      <c r="R15" s="118">
        <f t="shared" si="6"/>
        <v>361.52099999999996</v>
      </c>
      <c r="S15" s="118">
        <f t="shared" si="6"/>
        <v>-753.5</v>
      </c>
      <c r="T15" s="118">
        <f t="shared" si="6"/>
        <v>-757.59999999999991</v>
      </c>
      <c r="U15" s="118">
        <f t="shared" si="6"/>
        <v>-745.3</v>
      </c>
      <c r="V15" s="118">
        <f t="shared" si="6"/>
        <v>241.30000000000004</v>
      </c>
      <c r="W15" s="118">
        <f t="shared" si="6"/>
        <v>-657.3</v>
      </c>
      <c r="X15" s="118">
        <f t="shared" si="6"/>
        <v>-484.8</v>
      </c>
      <c r="Y15" s="118">
        <f t="shared" si="6"/>
        <v>-380.49999999999994</v>
      </c>
      <c r="Z15" s="118">
        <f>IFERROR(Z11+Z12+Z13+Z14,"n.a.")</f>
        <v>427.38499999999993</v>
      </c>
      <c r="AA15" s="118">
        <f>IFERROR(AA11+AA12+AA13+AA14,"n.a.")</f>
        <v>-672.90000000000009</v>
      </c>
      <c r="AB15" s="118">
        <f>IFERROR(AB11+AB12+AB13+AB14,"n.a.")</f>
        <v>-463.70000000000005</v>
      </c>
      <c r="AC15" s="118">
        <f>IFERROR(AC11+AC12+AC13+AC14-0.1,"n.a.")</f>
        <v>-323.3</v>
      </c>
      <c r="AD15" s="118">
        <f>IFERROR(AD11+AD12+AD13+AD14,"n.a.")</f>
        <v>515.52854574680896</v>
      </c>
      <c r="AE15" s="118">
        <f>IFERROR(AE11+AE12+AE13+AE14,"n.a.")</f>
        <v>-691.4</v>
      </c>
      <c r="AF15" s="118">
        <f>IFERROR(AF11+AF12+AF13+AF14,"n.a.")</f>
        <v>-534.90000000000009</v>
      </c>
      <c r="AG15" s="118">
        <f>IFERROR(AG11+AG12+AG13+AG14-0.1,"n.a.")</f>
        <v>-367.70000000000016</v>
      </c>
    </row>
    <row r="16" spans="1:33" x14ac:dyDescent="0.2">
      <c r="A16" s="29" t="s">
        <v>314</v>
      </c>
      <c r="B16" s="143"/>
      <c r="C16" s="67">
        <v>0</v>
      </c>
      <c r="D16" s="67">
        <v>0</v>
      </c>
      <c r="E16" s="67">
        <v>0</v>
      </c>
      <c r="F16" s="73">
        <v>0</v>
      </c>
      <c r="G16" s="67">
        <v>0</v>
      </c>
      <c r="H16" s="67">
        <v>0</v>
      </c>
      <c r="I16" s="67">
        <v>0</v>
      </c>
      <c r="J16" s="73">
        <f>'Cash Flow - FY'!G16</f>
        <v>10.299999999999999</v>
      </c>
      <c r="K16" s="67">
        <v>136.5</v>
      </c>
      <c r="L16" s="67">
        <v>136.69999999999999</v>
      </c>
      <c r="M16" s="67">
        <v>136.69999999999999</v>
      </c>
      <c r="N16" s="73">
        <f>'Cash Flow - FY'!H16</f>
        <v>135.29999999999998</v>
      </c>
      <c r="O16" s="67">
        <f>-17-0.2</f>
        <v>-17.2</v>
      </c>
      <c r="P16" s="42">
        <f>-17-0.4</f>
        <v>-17.399999999999999</v>
      </c>
      <c r="Q16" s="42">
        <f>-17-0.4</f>
        <v>-17.399999999999999</v>
      </c>
      <c r="R16" s="73">
        <f>'Cash Flow - FY'!I16</f>
        <v>-17.399999999999999</v>
      </c>
      <c r="S16" s="67">
        <v>0</v>
      </c>
      <c r="T16" s="67">
        <v>0</v>
      </c>
      <c r="U16" s="67">
        <v>0</v>
      </c>
      <c r="V16" s="73">
        <f>'Cash Flow - FY'!J16</f>
        <v>0</v>
      </c>
      <c r="W16" s="67">
        <v>3.8</v>
      </c>
      <c r="X16" s="67">
        <v>3.8</v>
      </c>
      <c r="Y16" s="67">
        <v>3.8</v>
      </c>
      <c r="Z16" s="73">
        <f>'Cash Flow - FY'!K16</f>
        <v>3.8</v>
      </c>
      <c r="AA16" s="67">
        <v>0</v>
      </c>
      <c r="AB16" s="67">
        <v>0</v>
      </c>
      <c r="AC16" s="67">
        <v>0</v>
      </c>
      <c r="AD16" s="73">
        <f>'Cash Flow - FY'!L16</f>
        <v>0</v>
      </c>
      <c r="AE16" s="67">
        <v>0</v>
      </c>
      <c r="AF16" s="67">
        <v>0</v>
      </c>
      <c r="AG16" s="67">
        <v>0</v>
      </c>
    </row>
    <row r="17" spans="1:33" x14ac:dyDescent="0.2">
      <c r="A17" s="29" t="s">
        <v>332</v>
      </c>
      <c r="B17" s="143"/>
      <c r="C17" s="67">
        <v>0</v>
      </c>
      <c r="D17" s="67">
        <v>0</v>
      </c>
      <c r="E17" s="67">
        <v>0</v>
      </c>
      <c r="F17" s="73">
        <v>0</v>
      </c>
      <c r="G17" s="67">
        <v>0</v>
      </c>
      <c r="H17" s="67">
        <v>0</v>
      </c>
      <c r="I17" s="67">
        <v>0</v>
      </c>
      <c r="J17" s="73">
        <f>'Cash Flow - FY'!G17</f>
        <v>0</v>
      </c>
      <c r="K17" s="67">
        <v>0</v>
      </c>
      <c r="L17" s="67">
        <v>0</v>
      </c>
      <c r="M17" s="67">
        <v>0</v>
      </c>
      <c r="N17" s="73">
        <f>'Cash Flow - FY'!H17</f>
        <v>0</v>
      </c>
      <c r="O17" s="67">
        <v>0</v>
      </c>
      <c r="P17" s="42">
        <v>0</v>
      </c>
      <c r="Q17" s="42">
        <v>0</v>
      </c>
      <c r="R17" s="73">
        <f>'Cash Flow - FY'!I17</f>
        <v>0</v>
      </c>
      <c r="S17" s="67">
        <v>0</v>
      </c>
      <c r="T17" s="67">
        <v>0</v>
      </c>
      <c r="U17" s="67">
        <v>0</v>
      </c>
      <c r="V17" s="73">
        <f>'Cash Flow - FY'!J17</f>
        <v>-33.700000000000003</v>
      </c>
      <c r="W17" s="67">
        <v>0</v>
      </c>
      <c r="X17" s="67">
        <v>0</v>
      </c>
      <c r="Y17" s="67">
        <v>0</v>
      </c>
      <c r="Z17" s="73">
        <f>'Cash Flow - FY'!K17</f>
        <v>0</v>
      </c>
      <c r="AA17" s="67">
        <v>0</v>
      </c>
      <c r="AB17" s="67">
        <v>0</v>
      </c>
      <c r="AC17" s="67">
        <v>0</v>
      </c>
      <c r="AD17" s="73">
        <f>'Cash Flow - FY'!L17</f>
        <v>0</v>
      </c>
      <c r="AE17" s="67">
        <v>0</v>
      </c>
      <c r="AF17" s="67">
        <v>0</v>
      </c>
      <c r="AG17" s="67">
        <v>0</v>
      </c>
    </row>
    <row r="18" spans="1:33" s="22" customFormat="1" x14ac:dyDescent="0.2">
      <c r="A18" s="38" t="s">
        <v>160</v>
      </c>
      <c r="B18" s="145"/>
      <c r="C18" s="118">
        <f t="shared" ref="C18:Y18" si="7">IFERROR(C15+C16+C17,"n.a.")</f>
        <v>-838.36500000000001</v>
      </c>
      <c r="D18" s="118">
        <f t="shared" si="7"/>
        <v>-631.34500000000003</v>
      </c>
      <c r="E18" s="118">
        <f t="shared" si="7"/>
        <v>-625.76600000000008</v>
      </c>
      <c r="F18" s="118">
        <f t="shared" si="7"/>
        <v>336.30400000000009</v>
      </c>
      <c r="G18" s="118">
        <f t="shared" si="7"/>
        <v>-881.62700000000007</v>
      </c>
      <c r="H18" s="118">
        <f t="shared" si="7"/>
        <v>-756.65599999999995</v>
      </c>
      <c r="I18" s="118">
        <f t="shared" si="7"/>
        <v>-868.94800000000009</v>
      </c>
      <c r="J18" s="118">
        <f t="shared" si="7"/>
        <v>200.29000000000002</v>
      </c>
      <c r="K18" s="118">
        <f t="shared" si="7"/>
        <v>-725.68500000000006</v>
      </c>
      <c r="L18" s="118">
        <f t="shared" si="7"/>
        <v>-692.94599999999991</v>
      </c>
      <c r="M18" s="118">
        <f t="shared" si="7"/>
        <v>-824.39899999999989</v>
      </c>
      <c r="N18" s="118">
        <f t="shared" si="7"/>
        <v>48.289000000000044</v>
      </c>
      <c r="O18" s="118">
        <f t="shared" si="7"/>
        <v>-712.90100000000007</v>
      </c>
      <c r="P18" s="118">
        <f t="shared" si="7"/>
        <v>-640.49999999999989</v>
      </c>
      <c r="Q18" s="118">
        <f t="shared" si="7"/>
        <v>-628.9000000000002</v>
      </c>
      <c r="R18" s="118">
        <f t="shared" si="7"/>
        <v>344.12099999999998</v>
      </c>
      <c r="S18" s="118">
        <f t="shared" si="7"/>
        <v>-753.5</v>
      </c>
      <c r="T18" s="118">
        <f t="shared" si="7"/>
        <v>-757.59999999999991</v>
      </c>
      <c r="U18" s="118">
        <f t="shared" si="7"/>
        <v>-745.3</v>
      </c>
      <c r="V18" s="118">
        <f t="shared" si="7"/>
        <v>207.60000000000002</v>
      </c>
      <c r="W18" s="118">
        <f t="shared" si="7"/>
        <v>-653.5</v>
      </c>
      <c r="X18" s="118">
        <f t="shared" si="7"/>
        <v>-481</v>
      </c>
      <c r="Y18" s="118">
        <f t="shared" si="7"/>
        <v>-376.69999999999993</v>
      </c>
      <c r="Z18" s="118">
        <f t="shared" ref="Z18:AG18" si="8">IFERROR(Z15+Z16+Z17,"n.a.")</f>
        <v>431.18499999999995</v>
      </c>
      <c r="AA18" s="118">
        <f t="shared" si="8"/>
        <v>-672.90000000000009</v>
      </c>
      <c r="AB18" s="118">
        <f t="shared" si="8"/>
        <v>-463.70000000000005</v>
      </c>
      <c r="AC18" s="118">
        <f t="shared" si="8"/>
        <v>-323.3</v>
      </c>
      <c r="AD18" s="118">
        <f t="shared" si="8"/>
        <v>515.52854574680896</v>
      </c>
      <c r="AE18" s="118">
        <f t="shared" si="8"/>
        <v>-691.4</v>
      </c>
      <c r="AF18" s="118">
        <f t="shared" si="8"/>
        <v>-534.90000000000009</v>
      </c>
      <c r="AG18" s="118">
        <f t="shared" si="8"/>
        <v>-367.70000000000016</v>
      </c>
    </row>
    <row r="19" spans="1:33" x14ac:dyDescent="0.2">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row>
    <row r="20" spans="1:33" x14ac:dyDescent="0.2">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row>
    <row r="21" spans="1:33" hidden="1" outlineLevel="2" x14ac:dyDescent="0.2">
      <c r="A21" s="120" t="s">
        <v>197</v>
      </c>
      <c r="B21" s="146"/>
      <c r="C21" s="179">
        <v>5390.3</v>
      </c>
      <c r="D21" s="179">
        <v>5428.2</v>
      </c>
      <c r="E21" s="179">
        <v>5449.3</v>
      </c>
      <c r="F21" s="179">
        <v>5377.9</v>
      </c>
      <c r="G21" s="151">
        <f>ROUND('Balance Sheet - FY'!E36,1)</f>
        <v>4960.7</v>
      </c>
      <c r="H21" s="151">
        <f>ROUND('Balance Sheet - FY'!E36,1)</f>
        <v>4960.7</v>
      </c>
      <c r="I21" s="151">
        <f>ROUND('Balance Sheet - FY'!E36,1)</f>
        <v>4960.7</v>
      </c>
      <c r="J21" s="151">
        <f>ROUND('Balance Sheet - FY'!E36,1)</f>
        <v>4960.7</v>
      </c>
      <c r="K21" s="151">
        <f>ROUND('Balance Sheet - FY'!G36,1)</f>
        <v>3218.5</v>
      </c>
      <c r="L21" s="151">
        <f>ROUND('Balance Sheet - FY'!G36,1)</f>
        <v>3218.5</v>
      </c>
      <c r="M21" s="151">
        <f>ROUND('Balance Sheet - FY'!G36,1)</f>
        <v>3218.5</v>
      </c>
      <c r="N21" s="151">
        <f>ROUND('Balance Sheet - FY'!G36,1)</f>
        <v>3218.5</v>
      </c>
      <c r="O21" s="151">
        <f>ROUND('Balance Sheet - FY'!H36,1)</f>
        <v>3180.1</v>
      </c>
      <c r="P21" s="151">
        <f>ROUND('Balance Sheet - FY'!H36,1)</f>
        <v>3180.1</v>
      </c>
      <c r="Q21" s="151">
        <f>ROUND('Balance Sheet - FY'!H36,1)</f>
        <v>3180.1</v>
      </c>
      <c r="R21" s="151">
        <f>ROUND('Balance Sheet - FY'!H36,1)</f>
        <v>3180.1</v>
      </c>
      <c r="S21" s="151">
        <f>ROUND('Balance Sheet - FY'!I40,1)</f>
        <v>3507.2</v>
      </c>
      <c r="T21" s="151">
        <f>ROUND('Balance Sheet - FY'!I40,1)</f>
        <v>3507.2</v>
      </c>
      <c r="U21" s="151">
        <f>ROUND('Balance Sheet - FY'!I40,1)</f>
        <v>3507.2</v>
      </c>
      <c r="V21" s="151">
        <f>ROUND('Balance Sheet - FY'!I40,1)</f>
        <v>3507.2</v>
      </c>
      <c r="W21" s="151">
        <f>ROUND('Balance Sheet - FY'!J40,1)</f>
        <v>3258.4</v>
      </c>
      <c r="X21" s="151">
        <f>ROUND('Balance Sheet - FY'!J40,1)</f>
        <v>3258.4</v>
      </c>
      <c r="Y21" s="151">
        <f>ROUND('Balance Sheet - FY'!J40,1)</f>
        <v>3258.4</v>
      </c>
      <c r="Z21" s="151">
        <f>ROUND('Balance Sheet - FY'!J40,1)</f>
        <v>3258.4</v>
      </c>
      <c r="AA21" s="151">
        <f>ROUND('Balance Sheet - FY'!K40,1)</f>
        <v>2907.1</v>
      </c>
      <c r="AB21" s="151">
        <f>ROUND('Balance Sheet - FY'!K40,1)</f>
        <v>2907.1</v>
      </c>
      <c r="AC21" s="151">
        <f>ROUND('Balance Sheet - FY'!K40,1)</f>
        <v>2907.1</v>
      </c>
      <c r="AD21" s="151">
        <f>ROUND('Balance Sheet - FY'!K40,1)</f>
        <v>2907.1</v>
      </c>
      <c r="AE21" s="151">
        <f>ROUND('Balance Sheet - FY'!L40,1)</f>
        <v>2552.6</v>
      </c>
      <c r="AF21" s="151">
        <f>ROUND('Balance Sheet - FY'!L40,1)</f>
        <v>2552.6</v>
      </c>
      <c r="AG21" s="151">
        <f>ROUND('Balance Sheet - FY'!L40,1)</f>
        <v>2552.6</v>
      </c>
    </row>
    <row r="22" spans="1:33" hidden="1" outlineLevel="2" x14ac:dyDescent="0.2">
      <c r="A22" s="61" t="s">
        <v>288</v>
      </c>
      <c r="B22" s="143"/>
      <c r="C22" s="67">
        <v>-59.3</v>
      </c>
      <c r="D22" s="67">
        <v>-97.2</v>
      </c>
      <c r="E22" s="67">
        <v>-118.3</v>
      </c>
      <c r="F22" s="67">
        <v>143.1</v>
      </c>
      <c r="G22" s="67">
        <v>143.1</v>
      </c>
      <c r="H22" s="67">
        <v>143.1</v>
      </c>
      <c r="I22" s="67">
        <v>143.1</v>
      </c>
      <c r="J22" s="67">
        <v>143.1</v>
      </c>
      <c r="K22" s="67">
        <v>0</v>
      </c>
      <c r="L22" s="67">
        <v>0</v>
      </c>
      <c r="M22" s="67">
        <v>0</v>
      </c>
      <c r="N22" s="67">
        <v>0</v>
      </c>
      <c r="O22" s="67">
        <v>0</v>
      </c>
      <c r="P22" s="67">
        <v>0</v>
      </c>
      <c r="Q22" s="67">
        <v>0</v>
      </c>
      <c r="R22" s="73">
        <f>'Cash Flow - FY'!I22</f>
        <v>0</v>
      </c>
      <c r="S22" s="67">
        <v>0</v>
      </c>
      <c r="T22" s="67">
        <v>0</v>
      </c>
      <c r="U22" s="67">
        <v>0</v>
      </c>
      <c r="V22" s="73">
        <f>'Cash Flow - FY'!J22</f>
        <v>0</v>
      </c>
      <c r="W22" s="67">
        <v>0</v>
      </c>
      <c r="X22" s="67">
        <v>0</v>
      </c>
      <c r="Y22" s="67">
        <v>0</v>
      </c>
      <c r="Z22" s="73">
        <f>'Cash Flow - FY'!N22</f>
        <v>0</v>
      </c>
      <c r="AA22" s="67">
        <v>0</v>
      </c>
      <c r="AB22" s="67">
        <v>0</v>
      </c>
      <c r="AC22" s="67">
        <v>0</v>
      </c>
      <c r="AD22" s="73">
        <f>'Cash Flow - FY'!R22</f>
        <v>0</v>
      </c>
      <c r="AE22" s="67">
        <v>0</v>
      </c>
      <c r="AF22" s="67">
        <v>0</v>
      </c>
      <c r="AG22" s="67">
        <v>0</v>
      </c>
    </row>
    <row r="23" spans="1:33" hidden="1" outlineLevel="2" x14ac:dyDescent="0.2">
      <c r="A23" s="61" t="s">
        <v>142</v>
      </c>
      <c r="B23" s="143"/>
      <c r="C23" s="67">
        <v>0</v>
      </c>
      <c r="D23" s="67">
        <v>0</v>
      </c>
      <c r="E23" s="67">
        <v>0</v>
      </c>
      <c r="F23" s="67">
        <v>-190</v>
      </c>
      <c r="G23" s="67">
        <v>-190</v>
      </c>
      <c r="H23" s="67">
        <v>-190</v>
      </c>
      <c r="I23" s="67">
        <v>-190</v>
      </c>
      <c r="J23" s="67">
        <v>-190</v>
      </c>
      <c r="K23" s="67">
        <v>0</v>
      </c>
      <c r="L23" s="67">
        <v>0</v>
      </c>
      <c r="M23" s="67">
        <v>0</v>
      </c>
      <c r="N23" s="67">
        <v>0</v>
      </c>
      <c r="O23" s="67">
        <v>0</v>
      </c>
      <c r="P23" s="67">
        <v>0</v>
      </c>
      <c r="Q23" s="67">
        <v>0</v>
      </c>
      <c r="R23" s="73">
        <f>'Cash Flow - FY'!I23</f>
        <v>0</v>
      </c>
      <c r="S23" s="67">
        <v>0</v>
      </c>
      <c r="T23" s="67">
        <v>0</v>
      </c>
      <c r="U23" s="67">
        <v>0</v>
      </c>
      <c r="V23" s="73">
        <f>'Cash Flow - FY'!J23</f>
        <v>0</v>
      </c>
      <c r="W23" s="67">
        <v>0</v>
      </c>
      <c r="X23" s="67">
        <v>0</v>
      </c>
      <c r="Y23" s="67">
        <v>0</v>
      </c>
      <c r="Z23" s="73">
        <f>'Cash Flow - FY'!N23</f>
        <v>0</v>
      </c>
      <c r="AA23" s="67">
        <v>0</v>
      </c>
      <c r="AB23" s="67">
        <v>0</v>
      </c>
      <c r="AC23" s="67">
        <v>0</v>
      </c>
      <c r="AD23" s="73">
        <f>'Cash Flow - FY'!R23</f>
        <v>0</v>
      </c>
      <c r="AE23" s="67">
        <v>0</v>
      </c>
      <c r="AF23" s="67">
        <v>0</v>
      </c>
      <c r="AG23" s="67">
        <v>0</v>
      </c>
    </row>
    <row r="24" spans="1:33" hidden="1" outlineLevel="2" x14ac:dyDescent="0.2">
      <c r="A24" s="61" t="s">
        <v>141</v>
      </c>
      <c r="B24" s="143"/>
      <c r="C24" s="67">
        <v>0</v>
      </c>
      <c r="D24" s="67">
        <v>0</v>
      </c>
      <c r="E24" s="67">
        <v>0</v>
      </c>
      <c r="F24" s="67">
        <v>0</v>
      </c>
      <c r="G24" s="67">
        <v>-1</v>
      </c>
      <c r="H24" s="67">
        <v>-1</v>
      </c>
      <c r="I24" s="67">
        <v>-1</v>
      </c>
      <c r="J24" s="67">
        <v>-1</v>
      </c>
      <c r="K24" s="67">
        <v>0</v>
      </c>
      <c r="L24" s="67">
        <v>0</v>
      </c>
      <c r="M24" s="67">
        <v>0</v>
      </c>
      <c r="N24" s="67">
        <v>0</v>
      </c>
      <c r="O24" s="67">
        <v>0</v>
      </c>
      <c r="P24" s="67">
        <v>0</v>
      </c>
      <c r="Q24" s="67">
        <v>0</v>
      </c>
      <c r="R24" s="73">
        <f>'Cash Flow - FY'!I24</f>
        <v>0</v>
      </c>
      <c r="S24" s="67">
        <v>0</v>
      </c>
      <c r="T24" s="67">
        <v>0</v>
      </c>
      <c r="U24" s="67">
        <v>0</v>
      </c>
      <c r="V24" s="73">
        <f>'Cash Flow - FY'!J24</f>
        <v>0</v>
      </c>
      <c r="W24" s="67">
        <v>0</v>
      </c>
      <c r="X24" s="67">
        <v>0</v>
      </c>
      <c r="Y24" s="67">
        <v>0</v>
      </c>
      <c r="Z24" s="73">
        <f>'Cash Flow - FY'!N24</f>
        <v>0</v>
      </c>
      <c r="AA24" s="67">
        <v>0</v>
      </c>
      <c r="AB24" s="67">
        <v>0</v>
      </c>
      <c r="AC24" s="67">
        <v>0</v>
      </c>
      <c r="AD24" s="73">
        <f>'Cash Flow - FY'!R24</f>
        <v>0</v>
      </c>
      <c r="AE24" s="67">
        <v>0</v>
      </c>
      <c r="AF24" s="67">
        <v>0</v>
      </c>
      <c r="AG24" s="67">
        <v>0</v>
      </c>
    </row>
    <row r="25" spans="1:33" hidden="1" outlineLevel="2" x14ac:dyDescent="0.2">
      <c r="A25" s="29" t="s">
        <v>145</v>
      </c>
      <c r="B25" s="143"/>
      <c r="C25" s="121">
        <f t="shared" ref="C25:M25" si="9">IFERROR(C22+C23+C24,"n.a.")</f>
        <v>-59.3</v>
      </c>
      <c r="D25" s="121">
        <f t="shared" si="9"/>
        <v>-97.2</v>
      </c>
      <c r="E25" s="121">
        <f t="shared" si="9"/>
        <v>-118.3</v>
      </c>
      <c r="F25" s="121">
        <f t="shared" si="9"/>
        <v>-46.900000000000006</v>
      </c>
      <c r="G25" s="121">
        <f t="shared" si="9"/>
        <v>-47.900000000000006</v>
      </c>
      <c r="H25" s="121">
        <f t="shared" si="9"/>
        <v>-47.900000000000006</v>
      </c>
      <c r="I25" s="121">
        <f t="shared" si="9"/>
        <v>-47.900000000000006</v>
      </c>
      <c r="J25" s="121">
        <f t="shared" si="9"/>
        <v>-47.900000000000006</v>
      </c>
      <c r="K25" s="121">
        <f t="shared" si="9"/>
        <v>0</v>
      </c>
      <c r="L25" s="121">
        <f t="shared" si="9"/>
        <v>0</v>
      </c>
      <c r="M25" s="121">
        <f t="shared" si="9"/>
        <v>0</v>
      </c>
      <c r="N25" s="121">
        <v>0</v>
      </c>
      <c r="O25" s="121">
        <f>IFERROR(O22+O23+O24,"n.a.")</f>
        <v>0</v>
      </c>
      <c r="P25" s="121">
        <f>IFERROR(P22+P23+P24,"n.a.")</f>
        <v>0</v>
      </c>
      <c r="Q25" s="121">
        <f>IFERROR(Q22+Q23+Q24,"n.a.")</f>
        <v>0</v>
      </c>
      <c r="R25" s="121">
        <v>0</v>
      </c>
      <c r="S25" s="121">
        <f>IFERROR(S22+S23+S24,"n.a.")</f>
        <v>0</v>
      </c>
      <c r="T25" s="121">
        <f>IFERROR(T22+T23+T24,"n.a.")</f>
        <v>0</v>
      </c>
      <c r="U25" s="121">
        <f>IFERROR(U22+U23+U24,"n.a.")</f>
        <v>0</v>
      </c>
      <c r="V25" s="121">
        <v>0</v>
      </c>
      <c r="W25" s="121">
        <f t="shared" ref="W25:AG25" si="10">IFERROR(W22+W23+W24,"n.a.")</f>
        <v>0</v>
      </c>
      <c r="X25" s="121">
        <f t="shared" si="10"/>
        <v>0</v>
      </c>
      <c r="Y25" s="121">
        <f t="shared" si="10"/>
        <v>0</v>
      </c>
      <c r="Z25" s="121">
        <f t="shared" si="10"/>
        <v>0</v>
      </c>
      <c r="AA25" s="121">
        <f t="shared" si="10"/>
        <v>0</v>
      </c>
      <c r="AB25" s="121">
        <f t="shared" si="10"/>
        <v>0</v>
      </c>
      <c r="AC25" s="121">
        <f t="shared" si="10"/>
        <v>0</v>
      </c>
      <c r="AD25" s="121">
        <f t="shared" si="10"/>
        <v>0</v>
      </c>
      <c r="AE25" s="121">
        <f t="shared" si="10"/>
        <v>0</v>
      </c>
      <c r="AF25" s="121">
        <f t="shared" si="10"/>
        <v>0</v>
      </c>
      <c r="AG25" s="121">
        <f t="shared" si="10"/>
        <v>0</v>
      </c>
    </row>
    <row r="26" spans="1:33" s="22" customFormat="1" collapsed="1" x14ac:dyDescent="0.2">
      <c r="A26" s="147" t="s">
        <v>140</v>
      </c>
      <c r="B26" s="148"/>
      <c r="C26" s="94">
        <f t="shared" ref="C26:M26" si="11">IFERROR(C21+C25,"n.a.")</f>
        <v>5331</v>
      </c>
      <c r="D26" s="94">
        <f t="shared" si="11"/>
        <v>5331</v>
      </c>
      <c r="E26" s="94">
        <f t="shared" si="11"/>
        <v>5331</v>
      </c>
      <c r="F26" s="94">
        <f t="shared" si="11"/>
        <v>5331</v>
      </c>
      <c r="G26" s="94">
        <f t="shared" si="11"/>
        <v>4912.8</v>
      </c>
      <c r="H26" s="94">
        <f t="shared" si="11"/>
        <v>4912.8</v>
      </c>
      <c r="I26" s="94">
        <f t="shared" si="11"/>
        <v>4912.8</v>
      </c>
      <c r="J26" s="94">
        <f t="shared" si="11"/>
        <v>4912.8</v>
      </c>
      <c r="K26" s="94">
        <f t="shared" si="11"/>
        <v>3218.5</v>
      </c>
      <c r="L26" s="94">
        <f t="shared" si="11"/>
        <v>3218.5</v>
      </c>
      <c r="M26" s="94">
        <f t="shared" si="11"/>
        <v>3218.5</v>
      </c>
      <c r="N26" s="94">
        <f t="shared" ref="N26:AG26" si="12">IFERROR(N21+N25,"n.a.")</f>
        <v>3218.5</v>
      </c>
      <c r="O26" s="94">
        <f t="shared" si="12"/>
        <v>3180.1</v>
      </c>
      <c r="P26" s="94">
        <f t="shared" si="12"/>
        <v>3180.1</v>
      </c>
      <c r="Q26" s="94">
        <f t="shared" si="12"/>
        <v>3180.1</v>
      </c>
      <c r="R26" s="94">
        <f t="shared" si="12"/>
        <v>3180.1</v>
      </c>
      <c r="S26" s="94">
        <f t="shared" si="12"/>
        <v>3507.2</v>
      </c>
      <c r="T26" s="94">
        <f t="shared" si="12"/>
        <v>3507.2</v>
      </c>
      <c r="U26" s="94">
        <f t="shared" si="12"/>
        <v>3507.2</v>
      </c>
      <c r="V26" s="94">
        <f t="shared" si="12"/>
        <v>3507.2</v>
      </c>
      <c r="W26" s="94">
        <f t="shared" si="12"/>
        <v>3258.4</v>
      </c>
      <c r="X26" s="94">
        <f t="shared" si="12"/>
        <v>3258.4</v>
      </c>
      <c r="Y26" s="94">
        <f t="shared" si="12"/>
        <v>3258.4</v>
      </c>
      <c r="Z26" s="94">
        <f t="shared" si="12"/>
        <v>3258.4</v>
      </c>
      <c r="AA26" s="94">
        <f t="shared" si="12"/>
        <v>2907.1</v>
      </c>
      <c r="AB26" s="94">
        <f t="shared" si="12"/>
        <v>2907.1</v>
      </c>
      <c r="AC26" s="94">
        <f t="shared" si="12"/>
        <v>2907.1</v>
      </c>
      <c r="AD26" s="94">
        <f t="shared" si="12"/>
        <v>2907.1</v>
      </c>
      <c r="AE26" s="94">
        <f t="shared" si="12"/>
        <v>2552.6</v>
      </c>
      <c r="AF26" s="94">
        <f t="shared" si="12"/>
        <v>2552.6</v>
      </c>
      <c r="AG26" s="94">
        <f t="shared" si="12"/>
        <v>2552.6</v>
      </c>
    </row>
    <row r="27" spans="1:33" x14ac:dyDescent="0.2">
      <c r="A27" s="29" t="s">
        <v>291</v>
      </c>
      <c r="B27" s="144"/>
      <c r="C27" s="121">
        <f t="shared" ref="C27:V27" si="13">IFERROR(-C18,"n.a.")</f>
        <v>838.36500000000001</v>
      </c>
      <c r="D27" s="121">
        <f t="shared" si="13"/>
        <v>631.34500000000003</v>
      </c>
      <c r="E27" s="121">
        <f t="shared" si="13"/>
        <v>625.76600000000008</v>
      </c>
      <c r="F27" s="121">
        <f t="shared" si="13"/>
        <v>-336.30400000000009</v>
      </c>
      <c r="G27" s="121">
        <f t="shared" si="13"/>
        <v>881.62700000000007</v>
      </c>
      <c r="H27" s="121">
        <f t="shared" si="13"/>
        <v>756.65599999999995</v>
      </c>
      <c r="I27" s="121">
        <f t="shared" si="13"/>
        <v>868.94800000000009</v>
      </c>
      <c r="J27" s="121">
        <f t="shared" si="13"/>
        <v>-200.29000000000002</v>
      </c>
      <c r="K27" s="121">
        <f t="shared" si="13"/>
        <v>725.68500000000006</v>
      </c>
      <c r="L27" s="121">
        <f t="shared" si="13"/>
        <v>692.94599999999991</v>
      </c>
      <c r="M27" s="121">
        <f t="shared" si="13"/>
        <v>824.39899999999989</v>
      </c>
      <c r="N27" s="121">
        <f t="shared" si="13"/>
        <v>-48.289000000000044</v>
      </c>
      <c r="O27" s="121">
        <f t="shared" si="13"/>
        <v>712.90100000000007</v>
      </c>
      <c r="P27" s="121">
        <f t="shared" si="13"/>
        <v>640.49999999999989</v>
      </c>
      <c r="Q27" s="121">
        <f t="shared" si="13"/>
        <v>628.9000000000002</v>
      </c>
      <c r="R27" s="121">
        <f t="shared" si="13"/>
        <v>-344.12099999999998</v>
      </c>
      <c r="S27" s="121">
        <f t="shared" si="13"/>
        <v>753.5</v>
      </c>
      <c r="T27" s="121">
        <f t="shared" si="13"/>
        <v>757.59999999999991</v>
      </c>
      <c r="U27" s="121">
        <f t="shared" si="13"/>
        <v>745.3</v>
      </c>
      <c r="V27" s="121">
        <f t="shared" si="13"/>
        <v>-207.60000000000002</v>
      </c>
      <c r="W27" s="121">
        <f t="shared" ref="W27:AG27" si="14">IFERROR(-W18,"n.a.")</f>
        <v>653.5</v>
      </c>
      <c r="X27" s="121">
        <f t="shared" si="14"/>
        <v>481</v>
      </c>
      <c r="Y27" s="121">
        <f t="shared" si="14"/>
        <v>376.69999999999993</v>
      </c>
      <c r="Z27" s="121">
        <f t="shared" si="14"/>
        <v>-431.18499999999995</v>
      </c>
      <c r="AA27" s="121">
        <f t="shared" si="14"/>
        <v>672.90000000000009</v>
      </c>
      <c r="AB27" s="121">
        <f t="shared" si="14"/>
        <v>463.70000000000005</v>
      </c>
      <c r="AC27" s="121">
        <f t="shared" si="14"/>
        <v>323.3</v>
      </c>
      <c r="AD27" s="121">
        <f t="shared" si="14"/>
        <v>-515.52854574680896</v>
      </c>
      <c r="AE27" s="121">
        <f t="shared" si="14"/>
        <v>691.4</v>
      </c>
      <c r="AF27" s="121">
        <f t="shared" si="14"/>
        <v>534.90000000000009</v>
      </c>
      <c r="AG27" s="121">
        <f t="shared" si="14"/>
        <v>367.70000000000016</v>
      </c>
    </row>
    <row r="28" spans="1:33" hidden="1" outlineLevel="2" x14ac:dyDescent="0.2">
      <c r="A28" s="29" t="s">
        <v>18</v>
      </c>
      <c r="B28" s="144"/>
      <c r="C28" s="67">
        <v>0</v>
      </c>
      <c r="D28" s="67">
        <v>0</v>
      </c>
      <c r="E28" s="67">
        <v>0</v>
      </c>
      <c r="F28" s="73">
        <f>'Cash Flow - FY'!F28</f>
        <v>0</v>
      </c>
      <c r="G28" s="67">
        <v>0</v>
      </c>
      <c r="H28" s="67">
        <v>0</v>
      </c>
      <c r="I28" s="67">
        <v>0</v>
      </c>
      <c r="J28" s="73">
        <f>'Cash Flow - FY'!G28</f>
        <v>0</v>
      </c>
      <c r="K28" s="67">
        <v>0</v>
      </c>
      <c r="L28" s="67">
        <v>0</v>
      </c>
      <c r="M28" s="67">
        <v>0</v>
      </c>
      <c r="N28" s="73">
        <f>'Cash Flow - FY'!H28</f>
        <v>0</v>
      </c>
      <c r="O28" s="67">
        <v>0</v>
      </c>
      <c r="P28" s="67">
        <v>0</v>
      </c>
      <c r="Q28" s="67">
        <v>0</v>
      </c>
      <c r="R28" s="73">
        <f>'Cash Flow - FY'!I28</f>
        <v>0</v>
      </c>
      <c r="S28" s="67">
        <v>0</v>
      </c>
      <c r="T28" s="67">
        <v>0</v>
      </c>
      <c r="U28" s="67">
        <v>0</v>
      </c>
      <c r="V28" s="73">
        <f>'Cash Flow - FY'!J28</f>
        <v>0</v>
      </c>
      <c r="W28" s="67">
        <v>0</v>
      </c>
      <c r="X28" s="67">
        <v>0</v>
      </c>
      <c r="Y28" s="67">
        <v>0</v>
      </c>
      <c r="Z28" s="73">
        <f>'Cash Flow - FY'!N28</f>
        <v>0</v>
      </c>
      <c r="AA28" s="67">
        <v>0</v>
      </c>
      <c r="AB28" s="67">
        <v>0</v>
      </c>
      <c r="AC28" s="67">
        <v>0</v>
      </c>
      <c r="AD28" s="73">
        <f>'Cash Flow - FY'!R28</f>
        <v>0</v>
      </c>
      <c r="AE28" s="67">
        <v>0</v>
      </c>
      <c r="AF28" s="67">
        <v>0</v>
      </c>
      <c r="AG28" s="67">
        <v>0</v>
      </c>
    </row>
    <row r="29" spans="1:33" hidden="1" outlineLevel="2" x14ac:dyDescent="0.2">
      <c r="A29" s="29" t="s">
        <v>124</v>
      </c>
      <c r="B29" s="144"/>
      <c r="C29" s="67">
        <v>0</v>
      </c>
      <c r="D29" s="67">
        <v>0</v>
      </c>
      <c r="E29" s="67">
        <v>0</v>
      </c>
      <c r="F29" s="73">
        <f>'Cash Flow - FY'!F29</f>
        <v>0</v>
      </c>
      <c r="G29" s="67">
        <v>0</v>
      </c>
      <c r="H29" s="67">
        <v>0</v>
      </c>
      <c r="I29" s="67">
        <v>0</v>
      </c>
      <c r="J29" s="73">
        <f>'Cash Flow - FY'!G29</f>
        <v>0</v>
      </c>
      <c r="K29" s="67">
        <v>0</v>
      </c>
      <c r="L29" s="67">
        <v>0</v>
      </c>
      <c r="M29" s="67">
        <v>0</v>
      </c>
      <c r="N29" s="73">
        <f>'Cash Flow - FY'!H29</f>
        <v>0</v>
      </c>
      <c r="O29" s="67">
        <v>0</v>
      </c>
      <c r="P29" s="67">
        <v>0</v>
      </c>
      <c r="Q29" s="67">
        <v>0</v>
      </c>
      <c r="R29" s="73">
        <f>'Cash Flow - FY'!I29</f>
        <v>0</v>
      </c>
      <c r="S29" s="67">
        <v>0</v>
      </c>
      <c r="T29" s="67">
        <v>0</v>
      </c>
      <c r="U29" s="67">
        <v>0</v>
      </c>
      <c r="V29" s="73">
        <f>'Cash Flow - FY'!J29</f>
        <v>0</v>
      </c>
      <c r="W29" s="67">
        <v>0</v>
      </c>
      <c r="X29" s="67">
        <v>0</v>
      </c>
      <c r="Y29" s="67">
        <v>0</v>
      </c>
      <c r="Z29" s="73">
        <f>'Cash Flow - FY'!N29</f>
        <v>0</v>
      </c>
      <c r="AA29" s="67">
        <v>0</v>
      </c>
      <c r="AB29" s="67">
        <v>0</v>
      </c>
      <c r="AC29" s="67">
        <v>0</v>
      </c>
      <c r="AD29" s="73">
        <f>'Cash Flow - FY'!R29</f>
        <v>0</v>
      </c>
      <c r="AE29" s="67">
        <v>0</v>
      </c>
      <c r="AF29" s="67">
        <v>0</v>
      </c>
      <c r="AG29" s="67">
        <v>0</v>
      </c>
    </row>
    <row r="30" spans="1:33" collapsed="1" x14ac:dyDescent="0.2">
      <c r="A30" s="29" t="s">
        <v>334</v>
      </c>
      <c r="B30" s="144"/>
      <c r="C30" s="67">
        <v>0</v>
      </c>
      <c r="D30" s="67">
        <v>0</v>
      </c>
      <c r="E30" s="67">
        <v>0</v>
      </c>
      <c r="F30" s="73">
        <f>'Cash Flow - FY'!F30</f>
        <v>0</v>
      </c>
      <c r="G30" s="67">
        <v>0</v>
      </c>
      <c r="H30" s="67">
        <v>0</v>
      </c>
      <c r="I30" s="67">
        <v>0</v>
      </c>
      <c r="J30" s="73">
        <f>'Cash Flow - FY'!G30</f>
        <v>0</v>
      </c>
      <c r="K30" s="67">
        <v>0</v>
      </c>
      <c r="L30" s="67">
        <v>0</v>
      </c>
      <c r="M30" s="67">
        <v>0</v>
      </c>
      <c r="N30" s="73">
        <f>'Cash Flow - FY'!H30</f>
        <v>0</v>
      </c>
      <c r="O30" s="67">
        <v>0</v>
      </c>
      <c r="P30" s="67">
        <v>0</v>
      </c>
      <c r="Q30" s="67">
        <v>0</v>
      </c>
      <c r="R30" s="73">
        <f>'Cash Flow - FY'!I30</f>
        <v>0</v>
      </c>
      <c r="S30" s="67">
        <v>0</v>
      </c>
      <c r="T30" s="67">
        <v>0</v>
      </c>
      <c r="U30" s="67">
        <v>0</v>
      </c>
      <c r="V30" s="73">
        <f>'Cash Flow - FY'!J30</f>
        <v>-41.2</v>
      </c>
      <c r="W30" s="67">
        <v>0</v>
      </c>
      <c r="X30" s="67">
        <v>0</v>
      </c>
      <c r="Y30" s="67">
        <v>0</v>
      </c>
      <c r="Z30" s="73">
        <f>'Cash Flow - FY'!K30</f>
        <v>0</v>
      </c>
      <c r="AA30" s="67">
        <v>0</v>
      </c>
      <c r="AB30" s="67">
        <v>0</v>
      </c>
      <c r="AC30" s="67">
        <v>0</v>
      </c>
      <c r="AD30" s="73">
        <f>'Cash Flow - FY'!L30</f>
        <v>0</v>
      </c>
      <c r="AE30" s="67">
        <v>0</v>
      </c>
      <c r="AF30" s="67">
        <v>0</v>
      </c>
      <c r="AG30" s="67">
        <v>0</v>
      </c>
    </row>
    <row r="31" spans="1:33" x14ac:dyDescent="0.2">
      <c r="A31" s="29" t="s">
        <v>125</v>
      </c>
      <c r="B31" s="144"/>
      <c r="C31" s="67">
        <v>0</v>
      </c>
      <c r="D31" s="67">
        <v>0</v>
      </c>
      <c r="E31" s="67">
        <v>0</v>
      </c>
      <c r="F31" s="73">
        <f>'Cash Flow - FY'!F31</f>
        <v>0</v>
      </c>
      <c r="G31" s="67">
        <v>0</v>
      </c>
      <c r="H31" s="67">
        <v>0</v>
      </c>
      <c r="I31" s="67">
        <v>0</v>
      </c>
      <c r="J31" s="73">
        <f>'Cash Flow - FY'!G31</f>
        <v>0</v>
      </c>
      <c r="K31" s="67">
        <v>0</v>
      </c>
      <c r="L31" s="67">
        <v>0</v>
      </c>
      <c r="M31" s="67">
        <v>0</v>
      </c>
      <c r="N31" s="73">
        <f>'Cash Flow - FY'!H31</f>
        <v>0</v>
      </c>
      <c r="O31" s="67">
        <v>0</v>
      </c>
      <c r="P31" s="67">
        <v>176.9</v>
      </c>
      <c r="Q31" s="67">
        <v>176.9</v>
      </c>
      <c r="R31" s="73">
        <f>'Cash Flow - FY'!I31</f>
        <v>176.9</v>
      </c>
      <c r="S31" s="67">
        <v>0</v>
      </c>
      <c r="T31" s="67">
        <v>0</v>
      </c>
      <c r="U31" s="67">
        <v>0</v>
      </c>
      <c r="V31" s="73">
        <f>'Cash Flow - FY'!J31</f>
        <v>0</v>
      </c>
      <c r="W31" s="67">
        <v>0</v>
      </c>
      <c r="X31" s="67">
        <v>79.3</v>
      </c>
      <c r="Y31" s="67">
        <v>79.8</v>
      </c>
      <c r="Z31" s="73">
        <f>'Cash Flow - FY'!K31</f>
        <v>79.900000000000006</v>
      </c>
      <c r="AA31" s="67">
        <v>0</v>
      </c>
      <c r="AB31" s="67">
        <v>159.9</v>
      </c>
      <c r="AC31" s="67">
        <v>160.19999999999999</v>
      </c>
      <c r="AD31" s="73">
        <f>'Cash Flow - FY'!L31</f>
        <v>161</v>
      </c>
      <c r="AE31" s="67">
        <v>0</v>
      </c>
      <c r="AF31" s="67">
        <v>0</v>
      </c>
      <c r="AG31" s="67">
        <v>217.8</v>
      </c>
    </row>
    <row r="32" spans="1:33" hidden="1" outlineLevel="1" x14ac:dyDescent="0.2">
      <c r="A32" s="29" t="s">
        <v>179</v>
      </c>
      <c r="B32" s="144"/>
      <c r="C32" s="67">
        <v>0</v>
      </c>
      <c r="D32" s="67">
        <v>0</v>
      </c>
      <c r="E32" s="67">
        <v>0</v>
      </c>
      <c r="F32" s="73">
        <f>'Cash Flow - FY'!F32</f>
        <v>33.9</v>
      </c>
      <c r="G32" s="67">
        <v>0</v>
      </c>
      <c r="H32" s="67">
        <v>0</v>
      </c>
      <c r="I32" s="67">
        <v>0</v>
      </c>
      <c r="J32" s="73">
        <f>'Cash Flow - FY'!G32</f>
        <v>0</v>
      </c>
      <c r="K32" s="67">
        <v>0</v>
      </c>
      <c r="L32" s="67">
        <v>0</v>
      </c>
      <c r="M32" s="67">
        <v>0</v>
      </c>
      <c r="N32" s="73">
        <f>'Cash Flow - FY'!H32</f>
        <v>0</v>
      </c>
      <c r="O32" s="67">
        <v>0</v>
      </c>
      <c r="P32" s="67">
        <v>0</v>
      </c>
      <c r="Q32" s="67">
        <v>0</v>
      </c>
      <c r="R32" s="73">
        <f>'Cash Flow - FY'!I32</f>
        <v>0</v>
      </c>
      <c r="S32" s="67">
        <v>0</v>
      </c>
      <c r="T32" s="67">
        <v>0</v>
      </c>
      <c r="U32" s="67">
        <v>0</v>
      </c>
      <c r="V32" s="73">
        <f>'Cash Flow - FY'!J32</f>
        <v>0</v>
      </c>
      <c r="W32" s="67">
        <v>0</v>
      </c>
      <c r="X32" s="67">
        <v>0</v>
      </c>
      <c r="Y32" s="67">
        <v>0</v>
      </c>
      <c r="Z32" s="73">
        <f>'Cash Flow - FY'!K32</f>
        <v>0</v>
      </c>
      <c r="AA32" s="67">
        <v>0</v>
      </c>
      <c r="AB32" s="67">
        <v>0</v>
      </c>
      <c r="AC32" s="67">
        <v>0</v>
      </c>
      <c r="AD32" s="73">
        <f>'Cash Flow - FY'!L32</f>
        <v>0</v>
      </c>
      <c r="AE32" s="67">
        <v>0</v>
      </c>
      <c r="AF32" s="67">
        <v>0</v>
      </c>
      <c r="AG32" s="67">
        <v>0</v>
      </c>
    </row>
    <row r="33" spans="1:33" hidden="1" outlineLevel="1" x14ac:dyDescent="0.2">
      <c r="A33" s="29" t="s">
        <v>180</v>
      </c>
      <c r="B33" s="144"/>
      <c r="C33" s="67">
        <v>0</v>
      </c>
      <c r="D33" s="67">
        <v>0</v>
      </c>
      <c r="E33" s="67">
        <v>0</v>
      </c>
      <c r="F33" s="73">
        <f>'Cash Flow - FY'!F33</f>
        <v>-10.9</v>
      </c>
      <c r="G33" s="67">
        <v>0</v>
      </c>
      <c r="H33" s="67">
        <v>0</v>
      </c>
      <c r="I33" s="67">
        <v>0</v>
      </c>
      <c r="J33" s="73">
        <f>'Cash Flow - FY'!G33</f>
        <v>0</v>
      </c>
      <c r="K33" s="67">
        <v>0</v>
      </c>
      <c r="L33" s="67">
        <v>0</v>
      </c>
      <c r="M33" s="67">
        <v>0</v>
      </c>
      <c r="N33" s="73">
        <f>'Cash Flow - FY'!H33</f>
        <v>0</v>
      </c>
      <c r="O33" s="67">
        <v>0</v>
      </c>
      <c r="P33" s="67">
        <v>0</v>
      </c>
      <c r="Q33" s="67">
        <v>0</v>
      </c>
      <c r="R33" s="73">
        <f>'Cash Flow - FY'!I33</f>
        <v>0</v>
      </c>
      <c r="S33" s="67">
        <v>0</v>
      </c>
      <c r="T33" s="67">
        <v>0</v>
      </c>
      <c r="U33" s="67">
        <v>0</v>
      </c>
      <c r="V33" s="73">
        <f>'Cash Flow - FY'!J33</f>
        <v>0</v>
      </c>
      <c r="W33" s="67">
        <v>0</v>
      </c>
      <c r="X33" s="67">
        <v>0</v>
      </c>
      <c r="Y33" s="67">
        <v>0</v>
      </c>
      <c r="Z33" s="73">
        <f>'Cash Flow - FY'!K33</f>
        <v>0</v>
      </c>
      <c r="AA33" s="67">
        <v>0</v>
      </c>
      <c r="AB33" s="67">
        <v>0</v>
      </c>
      <c r="AC33" s="67">
        <v>0</v>
      </c>
      <c r="AD33" s="73">
        <f>'Cash Flow - FY'!L33</f>
        <v>0</v>
      </c>
      <c r="AE33" s="67">
        <v>0</v>
      </c>
      <c r="AF33" s="67">
        <v>0</v>
      </c>
      <c r="AG33" s="67">
        <v>0</v>
      </c>
    </row>
    <row r="34" spans="1:33" hidden="1" outlineLevel="1" x14ac:dyDescent="0.2">
      <c r="A34" s="29" t="s">
        <v>127</v>
      </c>
      <c r="B34" s="144"/>
      <c r="C34" s="67">
        <v>0</v>
      </c>
      <c r="D34" s="67">
        <v>0</v>
      </c>
      <c r="E34" s="67">
        <v>0</v>
      </c>
      <c r="F34" s="73">
        <f>'Cash Flow - FY'!F34</f>
        <v>0</v>
      </c>
      <c r="G34" s="67">
        <v>0</v>
      </c>
      <c r="H34" s="67">
        <v>0</v>
      </c>
      <c r="I34" s="67">
        <v>0</v>
      </c>
      <c r="J34" s="73">
        <f>'Cash Flow - FY'!G34</f>
        <v>0</v>
      </c>
      <c r="K34" s="67">
        <v>0</v>
      </c>
      <c r="L34" s="67">
        <v>0</v>
      </c>
      <c r="M34" s="67">
        <v>0</v>
      </c>
      <c r="N34" s="73">
        <f>'Cash Flow - FY'!H34</f>
        <v>0</v>
      </c>
      <c r="O34" s="67">
        <v>0</v>
      </c>
      <c r="P34" s="67">
        <v>0</v>
      </c>
      <c r="Q34" s="67">
        <v>0</v>
      </c>
      <c r="R34" s="73">
        <f>'Cash Flow - FY'!I34</f>
        <v>0</v>
      </c>
      <c r="S34" s="67">
        <v>0</v>
      </c>
      <c r="T34" s="67">
        <v>0</v>
      </c>
      <c r="U34" s="67">
        <v>0</v>
      </c>
      <c r="V34" s="73">
        <f>'Cash Flow - FY'!J34</f>
        <v>0</v>
      </c>
      <c r="W34" s="67">
        <v>0</v>
      </c>
      <c r="X34" s="67">
        <v>0</v>
      </c>
      <c r="Y34" s="67">
        <v>0</v>
      </c>
      <c r="Z34" s="73">
        <f>'Cash Flow - FY'!K34</f>
        <v>0</v>
      </c>
      <c r="AA34" s="67">
        <v>0</v>
      </c>
      <c r="AB34" s="67">
        <v>0</v>
      </c>
      <c r="AC34" s="67">
        <v>0</v>
      </c>
      <c r="AD34" s="73">
        <f>'Cash Flow - FY'!L34</f>
        <v>0</v>
      </c>
      <c r="AE34" s="67">
        <v>0</v>
      </c>
      <c r="AF34" s="67">
        <v>0</v>
      </c>
      <c r="AG34" s="67">
        <v>0</v>
      </c>
    </row>
    <row r="35" spans="1:33" hidden="1" outlineLevel="1" x14ac:dyDescent="0.2">
      <c r="A35" s="29" t="s">
        <v>181</v>
      </c>
      <c r="B35" s="144"/>
      <c r="C35" s="67">
        <v>0</v>
      </c>
      <c r="D35" s="67">
        <v>0</v>
      </c>
      <c r="E35" s="67">
        <v>0</v>
      </c>
      <c r="F35" s="73">
        <f>'Cash Flow - FY'!F35</f>
        <v>-266</v>
      </c>
      <c r="G35" s="67">
        <v>0</v>
      </c>
      <c r="H35" s="67">
        <v>0</v>
      </c>
      <c r="I35" s="67">
        <v>0</v>
      </c>
      <c r="J35" s="73">
        <f>'Cash Flow - FY'!G35</f>
        <v>0</v>
      </c>
      <c r="K35" s="67">
        <v>0</v>
      </c>
      <c r="L35" s="67">
        <v>0</v>
      </c>
      <c r="M35" s="67">
        <v>0</v>
      </c>
      <c r="N35" s="73">
        <f>'Cash Flow - FY'!H35</f>
        <v>0</v>
      </c>
      <c r="O35" s="67">
        <v>0</v>
      </c>
      <c r="P35" s="67">
        <v>0</v>
      </c>
      <c r="Q35" s="67">
        <v>0</v>
      </c>
      <c r="R35" s="73">
        <f>'Cash Flow - FY'!I35</f>
        <v>0</v>
      </c>
      <c r="S35" s="67">
        <v>0</v>
      </c>
      <c r="T35" s="67">
        <v>0</v>
      </c>
      <c r="U35" s="67">
        <v>0</v>
      </c>
      <c r="V35" s="73">
        <f>'Cash Flow - FY'!J35</f>
        <v>0</v>
      </c>
      <c r="W35" s="67">
        <v>0</v>
      </c>
      <c r="X35" s="67">
        <v>0</v>
      </c>
      <c r="Y35" s="67">
        <v>0</v>
      </c>
      <c r="Z35" s="73">
        <f>'Cash Flow - FY'!K35</f>
        <v>0</v>
      </c>
      <c r="AA35" s="67">
        <v>0</v>
      </c>
      <c r="AB35" s="67">
        <v>0</v>
      </c>
      <c r="AC35" s="67">
        <v>0</v>
      </c>
      <c r="AD35" s="73">
        <f>'Cash Flow - FY'!L35</f>
        <v>0</v>
      </c>
      <c r="AE35" s="67">
        <v>0</v>
      </c>
      <c r="AF35" s="67">
        <v>0</v>
      </c>
      <c r="AG35" s="67">
        <v>0</v>
      </c>
    </row>
    <row r="36" spans="1:33" hidden="1" outlineLevel="1" x14ac:dyDescent="0.2">
      <c r="A36" s="29" t="s">
        <v>178</v>
      </c>
      <c r="B36" s="144"/>
      <c r="C36" s="67">
        <v>0</v>
      </c>
      <c r="D36" s="67">
        <v>134.30000000000001</v>
      </c>
      <c r="E36" s="67">
        <v>134.30000000000001</v>
      </c>
      <c r="F36" s="73">
        <f>'Cash Flow - FY'!F36</f>
        <v>134.30000000000001</v>
      </c>
      <c r="G36" s="67">
        <v>0</v>
      </c>
      <c r="H36" s="67">
        <v>0</v>
      </c>
      <c r="I36" s="67">
        <v>0</v>
      </c>
      <c r="J36" s="73">
        <f>'Cash Flow - FY'!G36</f>
        <v>0</v>
      </c>
      <c r="K36" s="67">
        <v>0</v>
      </c>
      <c r="L36" s="67">
        <v>0</v>
      </c>
      <c r="M36" s="67">
        <v>0</v>
      </c>
      <c r="N36" s="73">
        <f>'Cash Flow - FY'!H36</f>
        <v>0</v>
      </c>
      <c r="O36" s="67">
        <v>0</v>
      </c>
      <c r="P36" s="67">
        <v>0</v>
      </c>
      <c r="Q36" s="67">
        <v>0</v>
      </c>
      <c r="R36" s="73">
        <f>'Cash Flow - FY'!I36</f>
        <v>0</v>
      </c>
      <c r="S36" s="67">
        <v>0</v>
      </c>
      <c r="T36" s="67">
        <v>0</v>
      </c>
      <c r="U36" s="67">
        <v>0</v>
      </c>
      <c r="V36" s="73">
        <f>'Cash Flow - FY'!J36</f>
        <v>0</v>
      </c>
      <c r="W36" s="67">
        <v>0</v>
      </c>
      <c r="X36" s="67">
        <v>0</v>
      </c>
      <c r="Y36" s="67">
        <v>0</v>
      </c>
      <c r="Z36" s="73">
        <f>'Cash Flow - FY'!K36</f>
        <v>0</v>
      </c>
      <c r="AA36" s="67">
        <v>0</v>
      </c>
      <c r="AB36" s="67">
        <v>0</v>
      </c>
      <c r="AC36" s="67">
        <v>0</v>
      </c>
      <c r="AD36" s="73">
        <f>'Cash Flow - FY'!L36</f>
        <v>0</v>
      </c>
      <c r="AE36" s="67">
        <v>0</v>
      </c>
      <c r="AF36" s="67">
        <v>0</v>
      </c>
      <c r="AG36" s="67">
        <v>0</v>
      </c>
    </row>
    <row r="37" spans="1:33" hidden="1" outlineLevel="1" x14ac:dyDescent="0.2">
      <c r="A37" s="29" t="s">
        <v>182</v>
      </c>
      <c r="B37" s="144"/>
      <c r="C37" s="67">
        <v>0</v>
      </c>
      <c r="D37" s="67">
        <v>0</v>
      </c>
      <c r="E37" s="67">
        <v>0</v>
      </c>
      <c r="F37" s="73">
        <f>'Cash Flow - FY'!F37</f>
        <v>77.400000000000006</v>
      </c>
      <c r="G37" s="67">
        <v>0</v>
      </c>
      <c r="H37" s="67">
        <v>0</v>
      </c>
      <c r="I37" s="67">
        <v>0</v>
      </c>
      <c r="J37" s="73">
        <f>'Cash Flow - FY'!G37</f>
        <v>0</v>
      </c>
      <c r="K37" s="67">
        <v>0</v>
      </c>
      <c r="L37" s="67">
        <v>0</v>
      </c>
      <c r="M37" s="67">
        <v>0</v>
      </c>
      <c r="N37" s="73">
        <f>'Cash Flow - FY'!H37</f>
        <v>0</v>
      </c>
      <c r="O37" s="67">
        <v>0</v>
      </c>
      <c r="P37" s="67">
        <v>0</v>
      </c>
      <c r="Q37" s="67">
        <v>0</v>
      </c>
      <c r="R37" s="73">
        <f>'Cash Flow - FY'!I37</f>
        <v>0</v>
      </c>
      <c r="S37" s="67">
        <v>0</v>
      </c>
      <c r="T37" s="67">
        <v>0</v>
      </c>
      <c r="U37" s="67">
        <v>0</v>
      </c>
      <c r="V37" s="73">
        <f>'Cash Flow - FY'!J37</f>
        <v>0</v>
      </c>
      <c r="W37" s="67">
        <v>0</v>
      </c>
      <c r="X37" s="67">
        <v>0</v>
      </c>
      <c r="Y37" s="67">
        <v>0</v>
      </c>
      <c r="Z37" s="73">
        <f>'Cash Flow - FY'!K37</f>
        <v>0</v>
      </c>
      <c r="AA37" s="67">
        <v>0</v>
      </c>
      <c r="AB37" s="67">
        <v>0</v>
      </c>
      <c r="AC37" s="67">
        <v>0</v>
      </c>
      <c r="AD37" s="73">
        <f>'Cash Flow - FY'!L37</f>
        <v>0</v>
      </c>
      <c r="AE37" s="67">
        <v>0</v>
      </c>
      <c r="AF37" s="67">
        <v>0</v>
      </c>
      <c r="AG37" s="67">
        <v>0</v>
      </c>
    </row>
    <row r="38" spans="1:33" hidden="1" outlineLevel="1" x14ac:dyDescent="0.2">
      <c r="A38" s="29" t="s">
        <v>128</v>
      </c>
      <c r="B38" s="143"/>
      <c r="C38" s="67">
        <v>-59.3</v>
      </c>
      <c r="D38" s="67">
        <v>-97.2</v>
      </c>
      <c r="E38" s="67">
        <v>-118.7</v>
      </c>
      <c r="F38" s="73">
        <f>'Cash Flow - FY'!F38</f>
        <v>-46.9</v>
      </c>
      <c r="G38" s="67">
        <v>-269.3</v>
      </c>
      <c r="H38" s="67">
        <v>-304.60000000000002</v>
      </c>
      <c r="I38" s="67">
        <v>-304.60000000000002</v>
      </c>
      <c r="J38" s="73">
        <f>'Cash Flow - FY'!G38</f>
        <v>-304.60000000000002</v>
      </c>
      <c r="K38" s="67">
        <v>-5.3</v>
      </c>
      <c r="L38" s="67">
        <v>5</v>
      </c>
      <c r="M38" s="67">
        <v>-4.5999999999999996</v>
      </c>
      <c r="N38" s="73">
        <f>'Cash Flow - FY'!H38</f>
        <v>9.9</v>
      </c>
      <c r="O38" s="67">
        <v>0</v>
      </c>
      <c r="P38" s="67">
        <v>0</v>
      </c>
      <c r="Q38" s="67">
        <v>0</v>
      </c>
      <c r="R38" s="73">
        <f>'Cash Flow - FY'!I38</f>
        <v>0</v>
      </c>
      <c r="S38" s="67">
        <v>0</v>
      </c>
      <c r="T38" s="67">
        <v>0</v>
      </c>
      <c r="U38" s="67">
        <v>0</v>
      </c>
      <c r="V38" s="73">
        <f>'Cash Flow - FY'!J38</f>
        <v>0</v>
      </c>
      <c r="W38" s="67">
        <v>0</v>
      </c>
      <c r="X38" s="67">
        <v>0</v>
      </c>
      <c r="Y38" s="67">
        <v>0</v>
      </c>
      <c r="Z38" s="73">
        <f>'Cash Flow - FY'!K38</f>
        <v>0</v>
      </c>
      <c r="AA38" s="67">
        <v>0</v>
      </c>
      <c r="AB38" s="67">
        <v>0</v>
      </c>
      <c r="AC38" s="67">
        <v>0</v>
      </c>
      <c r="AD38" s="73">
        <f>'Cash Flow - FY'!L38</f>
        <v>0</v>
      </c>
      <c r="AE38" s="67">
        <v>0</v>
      </c>
      <c r="AF38" s="67">
        <v>0</v>
      </c>
      <c r="AG38" s="67">
        <v>0</v>
      </c>
    </row>
    <row r="39" spans="1:33" hidden="1" outlineLevel="1" x14ac:dyDescent="0.2">
      <c r="A39" s="29" t="s">
        <v>183</v>
      </c>
      <c r="B39" s="143"/>
      <c r="C39" s="67">
        <v>0</v>
      </c>
      <c r="D39" s="67">
        <v>0</v>
      </c>
      <c r="E39" s="67">
        <v>0</v>
      </c>
      <c r="F39" s="73">
        <f>'Cash Flow - FY'!F39</f>
        <v>-3.8</v>
      </c>
      <c r="G39" s="67">
        <v>0</v>
      </c>
      <c r="H39" s="67">
        <v>0</v>
      </c>
      <c r="I39" s="67">
        <v>0</v>
      </c>
      <c r="J39" s="73">
        <f>'Cash Flow - FY'!G39</f>
        <v>0</v>
      </c>
      <c r="K39" s="67">
        <v>0</v>
      </c>
      <c r="L39" s="67">
        <v>0</v>
      </c>
      <c r="M39" s="67">
        <v>0</v>
      </c>
      <c r="N39" s="73">
        <f>'Cash Flow - FY'!H39</f>
        <v>0</v>
      </c>
      <c r="O39" s="67">
        <v>0</v>
      </c>
      <c r="P39" s="67">
        <v>0</v>
      </c>
      <c r="Q39" s="67">
        <v>0</v>
      </c>
      <c r="R39" s="73">
        <f>'Cash Flow - FY'!I39</f>
        <v>0</v>
      </c>
      <c r="S39" s="67">
        <v>0</v>
      </c>
      <c r="T39" s="67">
        <v>0</v>
      </c>
      <c r="U39" s="67">
        <v>0</v>
      </c>
      <c r="V39" s="73">
        <f>'Cash Flow - FY'!J39</f>
        <v>0</v>
      </c>
      <c r="W39" s="67">
        <v>0</v>
      </c>
      <c r="X39" s="67">
        <v>0</v>
      </c>
      <c r="Y39" s="67">
        <v>0</v>
      </c>
      <c r="Z39" s="73">
        <f>'Cash Flow - FY'!K39</f>
        <v>0</v>
      </c>
      <c r="AA39" s="67">
        <v>0</v>
      </c>
      <c r="AB39" s="67">
        <v>0</v>
      </c>
      <c r="AC39" s="67">
        <v>0</v>
      </c>
      <c r="AD39" s="73">
        <f>'Cash Flow - FY'!L39</f>
        <v>0</v>
      </c>
      <c r="AE39" s="67">
        <v>0</v>
      </c>
      <c r="AF39" s="67">
        <v>0</v>
      </c>
      <c r="AG39" s="67">
        <v>0</v>
      </c>
    </row>
    <row r="40" spans="1:33" hidden="1" outlineLevel="1" x14ac:dyDescent="0.2">
      <c r="A40" s="29" t="s">
        <v>129</v>
      </c>
      <c r="B40" s="143"/>
      <c r="C40" s="79">
        <f>-C102</f>
        <v>0</v>
      </c>
      <c r="D40" s="79">
        <f>-D102</f>
        <v>0</v>
      </c>
      <c r="E40" s="79">
        <f>-E102</f>
        <v>0</v>
      </c>
      <c r="F40" s="73">
        <f>'Cash Flow - FY'!F40</f>
        <v>0</v>
      </c>
      <c r="G40" s="79">
        <f>-G102</f>
        <v>0</v>
      </c>
      <c r="H40" s="79">
        <f>-H102</f>
        <v>-1189.375</v>
      </c>
      <c r="I40" s="79">
        <f>-I102</f>
        <v>-1189.375</v>
      </c>
      <c r="J40" s="73">
        <f>'Cash Flow - FY'!G40</f>
        <v>-1189.375</v>
      </c>
      <c r="K40" s="67">
        <v>0</v>
      </c>
      <c r="L40" s="67">
        <v>0</v>
      </c>
      <c r="M40" s="67">
        <v>0</v>
      </c>
      <c r="N40" s="73">
        <f>'Cash Flow - FY'!H40</f>
        <v>0</v>
      </c>
      <c r="O40" s="67">
        <v>0</v>
      </c>
      <c r="P40" s="67">
        <v>0</v>
      </c>
      <c r="Q40" s="67">
        <v>0</v>
      </c>
      <c r="R40" s="73">
        <f>'Cash Flow - FY'!I40</f>
        <v>0</v>
      </c>
      <c r="S40" s="67">
        <v>0</v>
      </c>
      <c r="T40" s="67">
        <v>0</v>
      </c>
      <c r="U40" s="67">
        <v>0</v>
      </c>
      <c r="V40" s="73">
        <f>'Cash Flow - FY'!J40</f>
        <v>0</v>
      </c>
      <c r="W40" s="67">
        <v>0</v>
      </c>
      <c r="X40" s="67">
        <v>0</v>
      </c>
      <c r="Y40" s="67">
        <v>0</v>
      </c>
      <c r="Z40" s="73">
        <f>'Cash Flow - FY'!K40</f>
        <v>0</v>
      </c>
      <c r="AA40" s="67">
        <v>0</v>
      </c>
      <c r="AB40" s="67">
        <v>0</v>
      </c>
      <c r="AC40" s="67">
        <v>0</v>
      </c>
      <c r="AD40" s="73">
        <f>'Cash Flow - FY'!L40</f>
        <v>0</v>
      </c>
      <c r="AE40" s="67">
        <v>0</v>
      </c>
      <c r="AF40" s="67">
        <v>0</v>
      </c>
      <c r="AG40" s="67">
        <v>0</v>
      </c>
    </row>
    <row r="41" spans="1:33" hidden="1" outlineLevel="1" x14ac:dyDescent="0.2">
      <c r="A41" s="210" t="s">
        <v>294</v>
      </c>
      <c r="B41" s="202"/>
      <c r="C41" s="203">
        <v>0</v>
      </c>
      <c r="D41" s="203">
        <v>0</v>
      </c>
      <c r="E41" s="203">
        <v>0</v>
      </c>
      <c r="F41" s="73">
        <f>'Cash Flow - FY'!F41</f>
        <v>0</v>
      </c>
      <c r="G41" s="203">
        <v>0</v>
      </c>
      <c r="H41" s="203">
        <v>0</v>
      </c>
      <c r="I41" s="203">
        <v>0</v>
      </c>
      <c r="J41" s="73">
        <f>'Cash Flow - FY'!G41</f>
        <v>0</v>
      </c>
      <c r="K41" s="203">
        <v>0</v>
      </c>
      <c r="L41" s="203">
        <v>0</v>
      </c>
      <c r="M41" s="203">
        <v>0</v>
      </c>
      <c r="N41" s="73">
        <f>'Cash Flow - FY'!H41</f>
        <v>0</v>
      </c>
      <c r="O41" s="203">
        <v>15.7</v>
      </c>
      <c r="P41" s="203">
        <v>24.5</v>
      </c>
      <c r="Q41" s="203">
        <v>16.399999999999999</v>
      </c>
      <c r="R41" s="73">
        <f>'Cash Flow - FY'!I41</f>
        <v>11.2</v>
      </c>
      <c r="S41" s="203">
        <v>0</v>
      </c>
      <c r="T41" s="203">
        <v>0</v>
      </c>
      <c r="U41" s="203">
        <v>0</v>
      </c>
      <c r="V41" s="73">
        <f>'Cash Flow - FY'!J41</f>
        <v>0</v>
      </c>
      <c r="W41" s="226">
        <v>0</v>
      </c>
      <c r="X41" s="226">
        <v>0</v>
      </c>
      <c r="Y41" s="226">
        <v>0</v>
      </c>
      <c r="Z41" s="73">
        <f>'Cash Flow - FY'!K41</f>
        <v>0</v>
      </c>
      <c r="AA41" s="226">
        <v>0</v>
      </c>
      <c r="AB41" s="226">
        <v>0</v>
      </c>
      <c r="AC41" s="226">
        <v>0</v>
      </c>
      <c r="AD41" s="73">
        <f>'Cash Flow - FY'!L41</f>
        <v>0</v>
      </c>
      <c r="AE41" s="226">
        <v>0</v>
      </c>
      <c r="AF41" s="226">
        <v>0</v>
      </c>
      <c r="AG41" s="226">
        <v>0</v>
      </c>
    </row>
    <row r="42" spans="1:33" s="22" customFormat="1" collapsed="1" x14ac:dyDescent="0.2">
      <c r="A42" s="122" t="s">
        <v>280</v>
      </c>
      <c r="B42" s="149"/>
      <c r="C42" s="100">
        <f t="shared" ref="C42:I42" si="15">IFERROR(C26+C27+C28+C29+C31+C32+C33+C34+C35+C36+C37+C38+C39+C40,"n.a.")</f>
        <v>6110.0649999999996</v>
      </c>
      <c r="D42" s="100">
        <f t="shared" si="15"/>
        <v>5999.4450000000006</v>
      </c>
      <c r="E42" s="100">
        <f t="shared" si="15"/>
        <v>5972.366</v>
      </c>
      <c r="F42" s="100">
        <f t="shared" si="15"/>
        <v>4912.6959999999999</v>
      </c>
      <c r="G42" s="100">
        <f t="shared" si="15"/>
        <v>5525.1270000000004</v>
      </c>
      <c r="H42" s="100">
        <f t="shared" si="15"/>
        <v>4175.4809999999998</v>
      </c>
      <c r="I42" s="100">
        <f t="shared" si="15"/>
        <v>4287.7730000000001</v>
      </c>
      <c r="J42" s="100">
        <f t="shared" ref="J42:R42" si="16">IFERROR(J26+J27+J28+J29+J31+J32+J33+J34+J35+J36+J37+J38+J39+J40+J41,"n.a.")</f>
        <v>3218.5349999999999</v>
      </c>
      <c r="K42" s="100">
        <f t="shared" si="16"/>
        <v>3938.8849999999998</v>
      </c>
      <c r="L42" s="100">
        <f t="shared" si="16"/>
        <v>3916.4459999999999</v>
      </c>
      <c r="M42" s="100">
        <f t="shared" si="16"/>
        <v>4038.299</v>
      </c>
      <c r="N42" s="100">
        <f t="shared" si="16"/>
        <v>3180.1109999999999</v>
      </c>
      <c r="O42" s="100">
        <f t="shared" si="16"/>
        <v>3908.701</v>
      </c>
      <c r="P42" s="100">
        <f t="shared" si="16"/>
        <v>4022</v>
      </c>
      <c r="Q42" s="100">
        <f t="shared" si="16"/>
        <v>4002.3</v>
      </c>
      <c r="R42" s="100">
        <f t="shared" si="16"/>
        <v>3024.0789999999997</v>
      </c>
      <c r="S42" s="100" t="s">
        <v>174</v>
      </c>
      <c r="T42" s="100" t="s">
        <v>174</v>
      </c>
      <c r="U42" s="100" t="s">
        <v>174</v>
      </c>
      <c r="V42" s="100" t="s">
        <v>174</v>
      </c>
      <c r="W42" s="100" t="s">
        <v>174</v>
      </c>
      <c r="X42" s="100" t="s">
        <v>174</v>
      </c>
      <c r="Y42" s="100" t="s">
        <v>174</v>
      </c>
      <c r="Z42" s="100" t="s">
        <v>174</v>
      </c>
      <c r="AA42" s="100" t="s">
        <v>174</v>
      </c>
      <c r="AB42" s="100" t="s">
        <v>174</v>
      </c>
      <c r="AC42" s="100" t="s">
        <v>174</v>
      </c>
      <c r="AD42" s="100" t="s">
        <v>174</v>
      </c>
      <c r="AE42" s="100" t="s">
        <v>174</v>
      </c>
      <c r="AF42" s="100" t="s">
        <v>174</v>
      </c>
      <c r="AG42" s="100" t="s">
        <v>174</v>
      </c>
    </row>
    <row r="43" spans="1:33" x14ac:dyDescent="0.2">
      <c r="A43" s="29" t="s">
        <v>355</v>
      </c>
      <c r="B43" s="143"/>
      <c r="C43" s="67">
        <v>0</v>
      </c>
      <c r="D43" s="67">
        <v>0</v>
      </c>
      <c r="E43" s="67">
        <v>0</v>
      </c>
      <c r="F43" s="73">
        <f>'Cash Flow - FY'!F43</f>
        <v>0</v>
      </c>
      <c r="G43" s="67">
        <v>0</v>
      </c>
      <c r="H43" s="67">
        <v>0</v>
      </c>
      <c r="I43" s="67">
        <v>0</v>
      </c>
      <c r="J43" s="73">
        <f>'Cash Flow - FY'!G43</f>
        <v>0</v>
      </c>
      <c r="K43" s="67">
        <v>0</v>
      </c>
      <c r="L43" s="67">
        <v>0</v>
      </c>
      <c r="M43" s="67">
        <v>0</v>
      </c>
      <c r="N43" s="73">
        <f>'Cash Flow - FY'!H43</f>
        <v>0</v>
      </c>
      <c r="O43" s="67">
        <v>490</v>
      </c>
      <c r="P43" s="67">
        <v>494.3</v>
      </c>
      <c r="Q43" s="67">
        <v>494.3</v>
      </c>
      <c r="R43" s="73">
        <f>'Cash Flow - FY'!I43</f>
        <v>494.3</v>
      </c>
      <c r="S43" s="67" t="s">
        <v>228</v>
      </c>
      <c r="T43" s="67" t="s">
        <v>228</v>
      </c>
      <c r="U43" s="67" t="s">
        <v>228</v>
      </c>
      <c r="V43" s="73" t="str">
        <f>'Cash Flow - FY'!J43</f>
        <v>n.a.</v>
      </c>
      <c r="W43" s="67" t="s">
        <v>228</v>
      </c>
      <c r="X43" s="67" t="s">
        <v>228</v>
      </c>
      <c r="Y43" s="67" t="s">
        <v>228</v>
      </c>
      <c r="Z43" s="73" t="str">
        <f>'Cash Flow - FY'!K43</f>
        <v>n.a.</v>
      </c>
      <c r="AA43" s="67" t="s">
        <v>228</v>
      </c>
      <c r="AB43" s="67" t="s">
        <v>228</v>
      </c>
      <c r="AC43" s="67" t="s">
        <v>228</v>
      </c>
      <c r="AD43" s="73" t="str">
        <f>'Cash Flow - FY'!L43</f>
        <v>n.a.</v>
      </c>
      <c r="AE43" s="67" t="s">
        <v>228</v>
      </c>
      <c r="AF43" s="67" t="s">
        <v>228</v>
      </c>
      <c r="AG43" s="67" t="s">
        <v>228</v>
      </c>
    </row>
    <row r="44" spans="1:33" x14ac:dyDescent="0.2">
      <c r="A44" s="29" t="s">
        <v>295</v>
      </c>
      <c r="B44" s="143"/>
      <c r="C44" s="67">
        <v>0</v>
      </c>
      <c r="D44" s="67">
        <v>0</v>
      </c>
      <c r="E44" s="67">
        <v>0</v>
      </c>
      <c r="F44" s="73">
        <f>'Cash Flow - FY'!F44</f>
        <v>0</v>
      </c>
      <c r="G44" s="67">
        <v>0</v>
      </c>
      <c r="H44" s="67">
        <v>0</v>
      </c>
      <c r="I44" s="67">
        <v>0</v>
      </c>
      <c r="J44" s="73">
        <f>'Cash Flow - FY'!G44</f>
        <v>0</v>
      </c>
      <c r="K44" s="67">
        <v>0</v>
      </c>
      <c r="L44" s="67">
        <v>0</v>
      </c>
      <c r="M44" s="67">
        <v>0</v>
      </c>
      <c r="N44" s="73">
        <f>'Cash Flow - FY'!H44</f>
        <v>0</v>
      </c>
      <c r="O44" s="67">
        <v>-15.7</v>
      </c>
      <c r="P44" s="67">
        <v>-24.5</v>
      </c>
      <c r="Q44" s="67">
        <v>-16.399999999999999</v>
      </c>
      <c r="R44" s="73">
        <f>'Cash Flow - FY'!I44</f>
        <v>-11.2</v>
      </c>
      <c r="S44" s="67">
        <v>0</v>
      </c>
      <c r="T44" s="67">
        <v>0</v>
      </c>
      <c r="U44" s="67">
        <v>0</v>
      </c>
      <c r="V44" s="73" t="str">
        <f>'Cash Flow - FY'!J44</f>
        <v>n.a.</v>
      </c>
      <c r="W44" s="67">
        <v>0</v>
      </c>
      <c r="X44" s="67">
        <v>0</v>
      </c>
      <c r="Y44" s="67">
        <v>0</v>
      </c>
      <c r="Z44" s="73" t="str">
        <f>'Cash Flow - FY'!K44</f>
        <v>n.a.</v>
      </c>
      <c r="AA44" s="67">
        <v>0</v>
      </c>
      <c r="AB44" s="67">
        <v>0</v>
      </c>
      <c r="AC44" s="67">
        <v>0</v>
      </c>
      <c r="AD44" s="73" t="str">
        <f>'Cash Flow - FY'!L44</f>
        <v>n.a.</v>
      </c>
      <c r="AE44" s="67">
        <v>0</v>
      </c>
      <c r="AF44" s="67">
        <v>0</v>
      </c>
      <c r="AG44" s="67">
        <v>0</v>
      </c>
    </row>
    <row r="45" spans="1:33" s="22" customFormat="1" x14ac:dyDescent="0.2">
      <c r="A45" s="122" t="s">
        <v>281</v>
      </c>
      <c r="B45" s="149"/>
      <c r="C45" s="100">
        <f t="shared" ref="C45:I45" si="17">IFERROR(C42+C43,"n.a.")</f>
        <v>6110.0649999999996</v>
      </c>
      <c r="D45" s="100">
        <f t="shared" si="17"/>
        <v>5999.4450000000006</v>
      </c>
      <c r="E45" s="100">
        <f t="shared" si="17"/>
        <v>5972.366</v>
      </c>
      <c r="F45" s="100">
        <f t="shared" si="17"/>
        <v>4912.6959999999999</v>
      </c>
      <c r="G45" s="100">
        <f t="shared" si="17"/>
        <v>5525.1270000000004</v>
      </c>
      <c r="H45" s="100">
        <f t="shared" si="17"/>
        <v>4175.4809999999998</v>
      </c>
      <c r="I45" s="100">
        <f t="shared" si="17"/>
        <v>4287.7730000000001</v>
      </c>
      <c r="J45" s="100">
        <f t="shared" ref="J45:Q45" si="18">IFERROR(J42+J43+J44,"n.a.")</f>
        <v>3218.5349999999999</v>
      </c>
      <c r="K45" s="100">
        <f t="shared" si="18"/>
        <v>3938.8849999999998</v>
      </c>
      <c r="L45" s="100">
        <f t="shared" si="18"/>
        <v>3916.4459999999999</v>
      </c>
      <c r="M45" s="100">
        <f t="shared" si="18"/>
        <v>4038.299</v>
      </c>
      <c r="N45" s="100">
        <f t="shared" si="18"/>
        <v>3180.1109999999999</v>
      </c>
      <c r="O45" s="100">
        <f t="shared" si="18"/>
        <v>4383.0010000000002</v>
      </c>
      <c r="P45" s="100">
        <f t="shared" si="18"/>
        <v>4491.8</v>
      </c>
      <c r="Q45" s="100">
        <f t="shared" si="18"/>
        <v>4480.2000000000007</v>
      </c>
      <c r="R45" s="100">
        <f>IFERROR(R42+R43+R44,"n.a.")</f>
        <v>3507.1790000000001</v>
      </c>
      <c r="S45" s="100">
        <f t="shared" ref="S45:AG45" si="19">IFERROR(S26+S27+S28+S29+S30+S31+S32+S33+S34+S35+S36+S37+S38+S39+S40+S41,"n.a.")</f>
        <v>4260.7</v>
      </c>
      <c r="T45" s="100">
        <f t="shared" si="19"/>
        <v>4264.7999999999993</v>
      </c>
      <c r="U45" s="100">
        <f t="shared" si="19"/>
        <v>4252.5</v>
      </c>
      <c r="V45" s="100">
        <f t="shared" si="19"/>
        <v>3258.4</v>
      </c>
      <c r="W45" s="100">
        <f t="shared" si="19"/>
        <v>3911.9</v>
      </c>
      <c r="X45" s="100">
        <f t="shared" si="19"/>
        <v>3818.7000000000003</v>
      </c>
      <c r="Y45" s="100">
        <f t="shared" si="19"/>
        <v>3714.9</v>
      </c>
      <c r="Z45" s="100">
        <f t="shared" si="19"/>
        <v>2907.1150000000002</v>
      </c>
      <c r="AA45" s="100">
        <f t="shared" si="19"/>
        <v>3580</v>
      </c>
      <c r="AB45" s="100">
        <f t="shared" si="19"/>
        <v>3530.7000000000003</v>
      </c>
      <c r="AC45" s="100">
        <f t="shared" si="19"/>
        <v>3390.6</v>
      </c>
      <c r="AD45" s="100">
        <f t="shared" si="19"/>
        <v>2552.571454253191</v>
      </c>
      <c r="AE45" s="100">
        <f t="shared" si="19"/>
        <v>3244</v>
      </c>
      <c r="AF45" s="100">
        <f t="shared" si="19"/>
        <v>3087.5</v>
      </c>
      <c r="AG45" s="100">
        <f t="shared" si="19"/>
        <v>3138.1000000000004</v>
      </c>
    </row>
    <row r="46" spans="1:33" x14ac:dyDescent="0.2">
      <c r="AB46" s="37"/>
      <c r="AF46" s="37"/>
      <c r="AG46" s="37"/>
    </row>
    <row r="47" spans="1:33" x14ac:dyDescent="0.2">
      <c r="AB47" s="37"/>
      <c r="AF47" s="37"/>
      <c r="AG47" s="37"/>
    </row>
    <row r="48" spans="1:33" ht="13.5" thickBot="1" x14ac:dyDescent="0.25">
      <c r="A48" s="11" t="s">
        <v>147</v>
      </c>
      <c r="B48" s="11"/>
      <c r="C48" s="13" t="str">
        <f t="shared" ref="C48:V48" si="20">C4</f>
        <v>1Q 2016</v>
      </c>
      <c r="D48" s="13" t="str">
        <f t="shared" si="20"/>
        <v>1H 2016</v>
      </c>
      <c r="E48" s="13" t="str">
        <f t="shared" si="20"/>
        <v>9M 2016</v>
      </c>
      <c r="F48" s="13" t="str">
        <f t="shared" si="20"/>
        <v>FY 2016</v>
      </c>
      <c r="G48" s="13" t="str">
        <f t="shared" si="20"/>
        <v>1Q 2017</v>
      </c>
      <c r="H48" s="13" t="str">
        <f t="shared" si="20"/>
        <v>1H 2017</v>
      </c>
      <c r="I48" s="13" t="str">
        <f t="shared" si="20"/>
        <v>9M 2017</v>
      </c>
      <c r="J48" s="13" t="str">
        <f t="shared" si="20"/>
        <v>FY 2017</v>
      </c>
      <c r="K48" s="13" t="str">
        <f t="shared" si="20"/>
        <v>1Q 2018</v>
      </c>
      <c r="L48" s="13" t="str">
        <f t="shared" si="20"/>
        <v>1H 2018</v>
      </c>
      <c r="M48" s="13" t="str">
        <f t="shared" si="20"/>
        <v>9M 2018</v>
      </c>
      <c r="N48" s="13" t="str">
        <f t="shared" si="20"/>
        <v>FY 2018</v>
      </c>
      <c r="O48" s="13" t="str">
        <f t="shared" si="20"/>
        <v>1Q 2019</v>
      </c>
      <c r="P48" s="13" t="str">
        <f t="shared" si="20"/>
        <v>1H 2019</v>
      </c>
      <c r="Q48" s="13" t="str">
        <f t="shared" si="20"/>
        <v>9M 2019</v>
      </c>
      <c r="R48" s="13" t="str">
        <f t="shared" si="20"/>
        <v>FY 2019</v>
      </c>
      <c r="S48" s="13" t="str">
        <f t="shared" si="20"/>
        <v>1Q 2020</v>
      </c>
      <c r="T48" s="13" t="str">
        <f t="shared" si="20"/>
        <v>1H 2020</v>
      </c>
      <c r="U48" s="13" t="str">
        <f t="shared" si="20"/>
        <v>9M 2020</v>
      </c>
      <c r="V48" s="13" t="str">
        <f t="shared" si="20"/>
        <v>FY 2020</v>
      </c>
      <c r="W48" s="13" t="str">
        <f t="shared" ref="W48:AG48" si="21">W4</f>
        <v>1Q 2021</v>
      </c>
      <c r="X48" s="13" t="str">
        <f t="shared" si="21"/>
        <v>1H 2021</v>
      </c>
      <c r="Y48" s="13" t="str">
        <f t="shared" si="21"/>
        <v>9M 2021</v>
      </c>
      <c r="Z48" s="13" t="str">
        <f t="shared" si="21"/>
        <v>FY 2021</v>
      </c>
      <c r="AA48" s="13" t="str">
        <f t="shared" si="21"/>
        <v>1Q 2022</v>
      </c>
      <c r="AB48" s="13" t="str">
        <f t="shared" si="21"/>
        <v>1H 2022</v>
      </c>
      <c r="AC48" s="13" t="str">
        <f t="shared" si="21"/>
        <v>9M 2022</v>
      </c>
      <c r="AD48" s="13" t="str">
        <f t="shared" si="21"/>
        <v>FY 2022</v>
      </c>
      <c r="AE48" s="13" t="str">
        <f t="shared" si="21"/>
        <v>1Q 2023</v>
      </c>
      <c r="AF48" s="13" t="str">
        <f t="shared" si="21"/>
        <v>1H 2023</v>
      </c>
      <c r="AG48" s="13" t="str">
        <f t="shared" si="21"/>
        <v>9M2023</v>
      </c>
    </row>
    <row r="49" spans="1:33" x14ac:dyDescent="0.2">
      <c r="C49" s="129" t="str">
        <f t="shared" ref="C49:V49" si="22">C5</f>
        <v>restated</v>
      </c>
      <c r="D49" s="129" t="str">
        <f t="shared" si="22"/>
        <v>carve-out</v>
      </c>
      <c r="E49" s="129" t="str">
        <f t="shared" si="22"/>
        <v>restated</v>
      </c>
      <c r="F49" s="129" t="str">
        <f t="shared" si="22"/>
        <v>restated</v>
      </c>
      <c r="G49" s="129" t="str">
        <f t="shared" si="22"/>
        <v>reported</v>
      </c>
      <c r="H49" s="129" t="str">
        <f t="shared" si="22"/>
        <v>carve-out</v>
      </c>
      <c r="I49" s="129" t="str">
        <f t="shared" si="22"/>
        <v>reported</v>
      </c>
      <c r="J49" s="129" t="str">
        <f t="shared" si="22"/>
        <v>reported</v>
      </c>
      <c r="K49" s="129" t="str">
        <f t="shared" si="22"/>
        <v>reported</v>
      </c>
      <c r="L49" s="129" t="str">
        <f t="shared" si="22"/>
        <v>reported</v>
      </c>
      <c r="M49" s="129" t="str">
        <f t="shared" si="22"/>
        <v>reported</v>
      </c>
      <c r="N49" s="129" t="str">
        <f t="shared" si="22"/>
        <v>reported</v>
      </c>
      <c r="O49" s="129" t="str">
        <f t="shared" si="22"/>
        <v>reported</v>
      </c>
      <c r="P49" s="129" t="str">
        <f t="shared" si="22"/>
        <v>reported</v>
      </c>
      <c r="Q49" s="129" t="str">
        <f t="shared" si="22"/>
        <v>reported</v>
      </c>
      <c r="R49" s="129" t="str">
        <f t="shared" si="22"/>
        <v>reported</v>
      </c>
      <c r="S49" s="129" t="str">
        <f t="shared" si="22"/>
        <v>reported</v>
      </c>
      <c r="T49" s="129" t="str">
        <f t="shared" si="22"/>
        <v>reported</v>
      </c>
      <c r="U49" s="129" t="str">
        <f t="shared" si="22"/>
        <v>reported</v>
      </c>
      <c r="V49" s="129" t="str">
        <f t="shared" si="22"/>
        <v>reported</v>
      </c>
      <c r="W49" s="129" t="str">
        <f t="shared" ref="W49:AG49" si="23">W5</f>
        <v>reported</v>
      </c>
      <c r="X49" s="129" t="str">
        <f t="shared" si="23"/>
        <v>reported</v>
      </c>
      <c r="Y49" s="129" t="str">
        <f t="shared" si="23"/>
        <v>reported</v>
      </c>
      <c r="Z49" s="129" t="str">
        <f t="shared" si="23"/>
        <v>reported</v>
      </c>
      <c r="AA49" s="129" t="str">
        <f t="shared" si="23"/>
        <v>reported</v>
      </c>
      <c r="AB49" s="129" t="str">
        <f t="shared" si="23"/>
        <v>reported</v>
      </c>
      <c r="AC49" s="129" t="str">
        <f t="shared" si="23"/>
        <v>reported</v>
      </c>
      <c r="AD49" s="129" t="str">
        <f t="shared" si="23"/>
        <v>reported</v>
      </c>
      <c r="AE49" s="129" t="str">
        <f t="shared" si="23"/>
        <v>reported</v>
      </c>
      <c r="AF49" s="129" t="str">
        <f t="shared" si="23"/>
        <v>reported</v>
      </c>
      <c r="AG49" s="129" t="str">
        <f t="shared" si="23"/>
        <v>reported</v>
      </c>
    </row>
    <row r="50" spans="1:33" x14ac:dyDescent="0.2">
      <c r="AB50" s="37"/>
      <c r="AF50" s="37"/>
      <c r="AG50" s="37"/>
    </row>
    <row r="51" spans="1:33" ht="12.75" hidden="1" customHeight="1" outlineLevel="3" x14ac:dyDescent="0.2">
      <c r="A51" s="127" t="s">
        <v>20</v>
      </c>
      <c r="B51" s="150"/>
      <c r="C51" s="151">
        <f>'Fin. Highlights - Interim'!C40</f>
        <v>-50.099999999999994</v>
      </c>
      <c r="D51" s="151" t="str">
        <f>'Fin. Highlights - Interim'!E40</f>
        <v>n.a.</v>
      </c>
      <c r="E51" s="151">
        <f>'Fin. Highlights - Interim'!G40</f>
        <v>22.699999999999925</v>
      </c>
      <c r="F51" s="151">
        <f>'Fin. Highlights - Interim'!I40</f>
        <v>147.625</v>
      </c>
      <c r="G51" s="151">
        <f>'Fin. Highlights - Interim'!J40</f>
        <v>-27.099999999999973</v>
      </c>
      <c r="H51" s="151" t="str">
        <f>'Fin. Highlights - Interim'!L40</f>
        <v>n.a.</v>
      </c>
      <c r="I51" s="151">
        <f>'Fin. Highlights - Interim'!N40</f>
        <v>123.79999999999998</v>
      </c>
      <c r="J51" s="151">
        <f>'Fin. Highlights - FY'!G40</f>
        <v>175.72499999999985</v>
      </c>
      <c r="K51" s="151">
        <f>'Fin. Highlights - Interim'!Q40</f>
        <v>89.061000000000021</v>
      </c>
      <c r="L51" s="151">
        <f>'Fin. Highlights - Interim'!S40</f>
        <v>177.15799999999999</v>
      </c>
      <c r="M51" s="151">
        <f>'Fin. Highlights - Interim'!U40</f>
        <v>371.40000000000003</v>
      </c>
      <c r="N51" s="151">
        <f>'Fin. Highlights - Interim'!W40</f>
        <v>442.39099999999985</v>
      </c>
      <c r="O51" s="151">
        <f>'Fin. Highlights - Interim'!X40</f>
        <v>101.41799999999998</v>
      </c>
      <c r="P51" s="151">
        <f>'Fin. Highlights - Interim'!Z40</f>
        <v>307</v>
      </c>
      <c r="Q51" s="151">
        <f>'Fin. Highlights - Interim'!AB40</f>
        <v>385.69999999999993</v>
      </c>
      <c r="R51" s="151">
        <f>'Fin. Highlights - Interim'!AD40</f>
        <v>457.65899999999999</v>
      </c>
      <c r="S51" s="151">
        <f>'Fin. Highlights - Interim'!AE40</f>
        <v>38.462999999999987</v>
      </c>
      <c r="T51" s="151">
        <f>'Fin. Highlights - Interim'!AG40</f>
        <v>-101.709</v>
      </c>
      <c r="U51" s="151">
        <f>'Fin. Highlights - Interim'!AI40</f>
        <v>-17.760000000000016</v>
      </c>
      <c r="V51" s="151">
        <f>'Fin. Highlights - Interim'!AK40</f>
        <v>42.745000000000047</v>
      </c>
      <c r="W51" s="151">
        <f>'Fin. Highlights - Interim'!AL40</f>
        <v>42.155000000000008</v>
      </c>
      <c r="X51" s="151">
        <f>'Fin. Highlights - Interim'!AN40</f>
        <v>131.55599999999998</v>
      </c>
      <c r="Y51" s="151">
        <f>'Fin. Highlights - Interim'!AP40</f>
        <v>236.22500000000011</v>
      </c>
      <c r="Z51" s="151">
        <f>'Fin. Highlights - Interim'!AR40</f>
        <v>321.59299999999979</v>
      </c>
      <c r="AA51" s="151">
        <f>'Fin. Highlights - Interim'!AS40</f>
        <v>109.84199999999997</v>
      </c>
      <c r="AB51" s="151">
        <f>'Fin. Highlights - Interim'!AU40</f>
        <v>233.03500000000008</v>
      </c>
      <c r="AC51" s="151">
        <f>'Fin. Highlights - Interim'!AW40</f>
        <v>359.25800000000004</v>
      </c>
      <c r="AD51" s="151">
        <f>'Fin. Highlights - Interim'!AY40</f>
        <v>435.89600000000007</v>
      </c>
      <c r="AE51" s="151">
        <f>'Fin. Highlights - Interim'!AZ40</f>
        <v>114.97</v>
      </c>
      <c r="AF51" s="151">
        <f>'Fin. Highlights - Interim'!BB40</f>
        <v>242.57000000000002</v>
      </c>
      <c r="AG51" s="151">
        <f>'Fin. Highlights - Interim'!BD40</f>
        <v>411.0392510000039</v>
      </c>
    </row>
    <row r="52" spans="1:33" ht="12.75" hidden="1" customHeight="1" outlineLevel="3" x14ac:dyDescent="0.2">
      <c r="A52" s="138" t="s">
        <v>87</v>
      </c>
      <c r="B52" s="143"/>
      <c r="C52" s="73">
        <f>-'Fin. Highlights - Interim'!C39</f>
        <v>19.7</v>
      </c>
      <c r="D52" s="73" t="str">
        <f>'Fin. Highlights - Interim'!E39</f>
        <v>n.a.</v>
      </c>
      <c r="E52" s="73">
        <f>-'Fin. Highlights - Interim'!G39</f>
        <v>13.1</v>
      </c>
      <c r="F52" s="73">
        <f>-'Fin. Highlights - Interim'!I39</f>
        <v>16.361999999999998</v>
      </c>
      <c r="G52" s="73">
        <f>-'Fin. Highlights - Interim'!J39</f>
        <v>76.599999999999994</v>
      </c>
      <c r="H52" s="73" t="str">
        <f>'Fin. Highlights - Interim'!L39</f>
        <v>n.a.</v>
      </c>
      <c r="I52" s="73">
        <f>-'Fin. Highlights - Interim'!N39</f>
        <v>75</v>
      </c>
      <c r="J52" s="73">
        <f>-'Fin. Highlights - FY'!G39</f>
        <v>87.561999999999998</v>
      </c>
      <c r="K52" s="73">
        <f>-'Fin. Highlights - Interim'!Q39</f>
        <v>3.339</v>
      </c>
      <c r="L52" s="73">
        <f>-'Fin. Highlights - Interim'!S39</f>
        <v>4.7419999999999991</v>
      </c>
      <c r="M52" s="73">
        <f>-'Fin. Highlights - Interim'!U39</f>
        <v>6.7</v>
      </c>
      <c r="N52" s="73">
        <f>-'Fin. Highlights - Interim'!W39</f>
        <v>6.4089999999999998</v>
      </c>
      <c r="O52" s="73">
        <f>-'Fin. Highlights - Interim'!X39</f>
        <v>0</v>
      </c>
      <c r="P52" s="73">
        <f>-'Fin. Highlights - Interim'!Z39</f>
        <v>0</v>
      </c>
      <c r="Q52" s="73">
        <f>-'Fin. Highlights - Interim'!AB39</f>
        <v>0</v>
      </c>
      <c r="R52" s="73">
        <f>-'Fin. Highlights - Interim'!AD39</f>
        <v>0</v>
      </c>
      <c r="S52" s="73">
        <f>-'Fin. Highlights - Interim'!AE39</f>
        <v>0</v>
      </c>
      <c r="T52" s="73">
        <f>-'Fin. Highlights - Interim'!AG39</f>
        <v>0</v>
      </c>
      <c r="U52" s="73">
        <f>-'Fin. Highlights - Interim'!AI39</f>
        <v>0</v>
      </c>
      <c r="V52" s="73">
        <f>-'Fin. Highlights - Interim'!AK39</f>
        <v>0</v>
      </c>
      <c r="W52" s="73">
        <f>-'Fin. Highlights - Interim'!AL39</f>
        <v>0</v>
      </c>
      <c r="X52" s="73">
        <f>-'Fin. Highlights - Interim'!AN39</f>
        <v>0</v>
      </c>
      <c r="Y52" s="73">
        <f>-'Fin. Highlights - Interim'!AP39</f>
        <v>0</v>
      </c>
      <c r="Z52" s="73">
        <f>IFERROR(-'Fin. Highlights - Interim'!AR39,"n.a.")</f>
        <v>0</v>
      </c>
      <c r="AA52" s="73">
        <f>-'Fin. Highlights - Interim'!AS39</f>
        <v>0</v>
      </c>
      <c r="AB52" s="73">
        <f>-'Fin. Highlights - Interim'!AU39</f>
        <v>0</v>
      </c>
      <c r="AC52" s="73">
        <f>-'Fin. Highlights - Interim'!AW39</f>
        <v>0</v>
      </c>
      <c r="AD52" s="73">
        <f>IFERROR(-'Fin. Highlights - Interim'!AY39,"n.a.")</f>
        <v>0</v>
      </c>
      <c r="AE52" s="73">
        <f>-'Fin. Highlights - Interim'!AZ39</f>
        <v>0</v>
      </c>
      <c r="AF52" s="73">
        <f>-'Fin. Highlights - Interim'!BB39</f>
        <v>0</v>
      </c>
      <c r="AG52" s="73">
        <f>-'Fin. Highlights - Interim'!BD39</f>
        <v>0</v>
      </c>
    </row>
    <row r="53" spans="1:33" ht="12.75" hidden="1" customHeight="1" outlineLevel="3" x14ac:dyDescent="0.2">
      <c r="A53" s="138" t="s">
        <v>88</v>
      </c>
      <c r="B53" s="143"/>
      <c r="C53" s="73">
        <f>-'Fin. Highlights - Interim'!C36</f>
        <v>20.3</v>
      </c>
      <c r="D53" s="73">
        <f>-'Fin. Highlights - Interim'!E36</f>
        <v>46.7</v>
      </c>
      <c r="E53" s="73">
        <f>-'Fin. Highlights - Interim'!G36</f>
        <v>73.599999999999994</v>
      </c>
      <c r="F53" s="73">
        <f>-'Fin. Highlights - Interim'!I36</f>
        <v>75.256</v>
      </c>
      <c r="G53" s="73">
        <f>-'Fin. Highlights - Interim'!J36</f>
        <v>39.1</v>
      </c>
      <c r="H53" s="73">
        <f>-'Fin. Highlights - Interim'!L36</f>
        <v>11.3</v>
      </c>
      <c r="I53" s="73">
        <f>-'Fin. Highlights - Interim'!N36</f>
        <v>33.700000000000003</v>
      </c>
      <c r="J53" s="73">
        <f>-'Fin. Highlights - FY'!G36</f>
        <v>40.847999999999999</v>
      </c>
      <c r="K53" s="73">
        <f>-'Fin. Highlights - Interim'!Q36</f>
        <v>37.200000000000003</v>
      </c>
      <c r="L53" s="73">
        <f>-'Fin. Highlights - Interim'!S36</f>
        <v>73.3</v>
      </c>
      <c r="M53" s="73">
        <f>-'Fin. Highlights - Interim'!U36</f>
        <v>66.7</v>
      </c>
      <c r="N53" s="73">
        <f>-'Fin. Highlights - Interim'!W36</f>
        <v>53</v>
      </c>
      <c r="O53" s="73">
        <f>-'Fin. Highlights - Interim'!X36</f>
        <v>35.597000000000001</v>
      </c>
      <c r="P53" s="73">
        <f>-'Fin. Highlights - Interim'!Z36</f>
        <v>110.1</v>
      </c>
      <c r="Q53" s="73">
        <f>-'Fin. Highlights - Interim'!AB36</f>
        <v>138.4</v>
      </c>
      <c r="R53" s="73">
        <f>-'Fin. Highlights - Interim'!AD36</f>
        <v>164.56200000000001</v>
      </c>
      <c r="S53" s="73">
        <f>-'Fin. Highlights - Interim'!AE36</f>
        <v>12.146000000000001</v>
      </c>
      <c r="T53" s="73">
        <f>-'Fin. Highlights - Interim'!AG36-0.1</f>
        <v>-32.881</v>
      </c>
      <c r="U53" s="73">
        <f>-'Fin. Highlights - Interim'!AI36</f>
        <v>-5.9530000000000003</v>
      </c>
      <c r="V53" s="73">
        <f>-'Fin. Highlights - Interim'!AK36</f>
        <v>14.693</v>
      </c>
      <c r="W53" s="73">
        <f>-'Fin. Highlights - Interim'!AL36</f>
        <v>15.121</v>
      </c>
      <c r="X53" s="73">
        <f>-'Fin. Highlights - Interim'!AN36</f>
        <v>47.194000000000003</v>
      </c>
      <c r="Y53" s="73">
        <f>-'Fin. Highlights - Interim'!AP36</f>
        <v>84.751999999999995</v>
      </c>
      <c r="Z53" s="73">
        <f>IFERROR(-'Fin. Highlights - Interim'!AR36,"n.a.")</f>
        <v>115.158</v>
      </c>
      <c r="AA53" s="73">
        <f>-'Fin. Highlights - Interim'!AS36</f>
        <v>39.950000000000003</v>
      </c>
      <c r="AB53" s="73">
        <f>-'Fin. Highlights - Interim'!AU36</f>
        <v>84.914000000000001</v>
      </c>
      <c r="AC53" s="73">
        <f>-'Fin. Highlights - Interim'!AW36</f>
        <v>130.881</v>
      </c>
      <c r="AD53" s="73">
        <f>IFERROR(-'Fin. Highlights - Interim'!AY36,"n.a.")</f>
        <v>159.73400000000001</v>
      </c>
      <c r="AE53" s="73">
        <f>-'Fin. Highlights - Interim'!AZ36</f>
        <v>45.828000000000003</v>
      </c>
      <c r="AF53" s="73">
        <f>-'Fin. Highlights - Interim'!BB36</f>
        <v>96.71</v>
      </c>
      <c r="AG53" s="73">
        <f>-'Fin. Highlights - Interim'!BD36</f>
        <v>115.977</v>
      </c>
    </row>
    <row r="54" spans="1:33" ht="12.75" hidden="1" customHeight="1" outlineLevel="2" x14ac:dyDescent="0.2">
      <c r="A54" s="128" t="s">
        <v>96</v>
      </c>
      <c r="B54" s="152"/>
      <c r="C54" s="153">
        <f>IFERROR(C51+C52+C53,"n.a.")</f>
        <v>-10.099999999999994</v>
      </c>
      <c r="D54" s="153">
        <f>SUM(D51,D53,-0.046)</f>
        <v>46.654000000000003</v>
      </c>
      <c r="E54" s="153">
        <f>IFERROR(E51+E52+E53,"n.a.")</f>
        <v>109.39999999999992</v>
      </c>
      <c r="F54" s="153">
        <f>IFERROR(F51+F52+F53,"n.a.")</f>
        <v>239.24299999999999</v>
      </c>
      <c r="G54" s="153">
        <f>IFERROR(G51+G52+G53,"n.a.")</f>
        <v>88.600000000000023</v>
      </c>
      <c r="H54" s="153">
        <f>SUM(H51,H53,0.026)</f>
        <v>11.326000000000001</v>
      </c>
      <c r="I54" s="153">
        <f>IFERROR(I51+I52+I53,"n.a.")</f>
        <v>232.5</v>
      </c>
      <c r="J54" s="153">
        <f>IFERROR(J51+J52+J53,"n.a.")</f>
        <v>304.13499999999988</v>
      </c>
      <c r="K54" s="153">
        <f>IFERROR(K51+K52+K53,"n.a.")</f>
        <v>129.60000000000002</v>
      </c>
      <c r="L54" s="153">
        <f>IFERROR(L51+L52+L53+0.023,"n.a.")</f>
        <v>255.22299999999998</v>
      </c>
      <c r="M54" s="153">
        <f>IFERROR(M51+M52+M53-0.013,"n.a.")</f>
        <v>444.78700000000003</v>
      </c>
      <c r="N54" s="153">
        <f>IFERROR(N51+N52+N53,"n.a.")</f>
        <v>501.79999999999984</v>
      </c>
      <c r="O54" s="153">
        <f>IFERROR(O51+O52+O53+0.019,"n.a.")</f>
        <v>137.03399999999999</v>
      </c>
      <c r="P54" s="153">
        <f>IFERROR(P51+P52+P53+0.01,"n.a.")</f>
        <v>417.11</v>
      </c>
      <c r="Q54" s="153">
        <f>IFERROR(Q51+Q52+Q53-0.037,"n.a.")</f>
        <v>524.06299999999987</v>
      </c>
      <c r="R54" s="153">
        <f>IFERROR(R51+R52+R53+0.038,"n.a.")</f>
        <v>622.25900000000001</v>
      </c>
      <c r="S54" s="153">
        <f>IFERROR(S51+S52+S53+0.001,"n.a.")</f>
        <v>50.609999999999985</v>
      </c>
      <c r="T54" s="153">
        <f>IFERROR(T51+T52+T53,"n.a.")</f>
        <v>-134.59</v>
      </c>
      <c r="U54" s="153">
        <f>IFERROR(U51+U52+U53-0.05,"n.a.")</f>
        <v>-23.763000000000016</v>
      </c>
      <c r="V54" s="153">
        <f>IFERROR(V51+V52+V53-0.072,"n.a.")</f>
        <v>57.366000000000042</v>
      </c>
      <c r="W54" s="153">
        <f>IFERROR(W51+W52+W53+0.034,"n.a.")</f>
        <v>57.310000000000009</v>
      </c>
      <c r="X54" s="153">
        <f>IFERROR(X51+X52+X53-0.016,"n.a.")</f>
        <v>178.73400000000001</v>
      </c>
      <c r="Y54" s="153">
        <f>IFERROR(Y51+Y52+Y53,"n.a.")</f>
        <v>320.97700000000009</v>
      </c>
      <c r="Z54" s="153">
        <f>IFERROR(Z51+Z52+Z53,"n.a.")</f>
        <v>436.75099999999981</v>
      </c>
      <c r="AA54" s="153">
        <f>IFERROR(AA51+AA52+AA53,"n.a.")</f>
        <v>149.79199999999997</v>
      </c>
      <c r="AB54" s="153">
        <f>IFERROR(AB51+AB52+AB53,"n.a.")</f>
        <v>317.94900000000007</v>
      </c>
      <c r="AC54" s="153">
        <f>IFERROR(AC51+AC52+AC53+0.1,"n.a.")</f>
        <v>490.23900000000003</v>
      </c>
      <c r="AD54" s="153">
        <f>IFERROR(AD51+AD52+AD53,"n.a.")</f>
        <v>595.63000000000011</v>
      </c>
      <c r="AE54" s="153">
        <f>IFERROR(AE51+AE52+AE53,"n.a.")</f>
        <v>160.798</v>
      </c>
      <c r="AF54" s="153">
        <f>IFERROR(AF51+AF52+AF53,"n.a.")</f>
        <v>339.28000000000003</v>
      </c>
      <c r="AG54" s="153">
        <f>IFERROR(AG51+AG52+AG53,"n.a.")</f>
        <v>527.01625100000388</v>
      </c>
    </row>
    <row r="55" spans="1:33" hidden="1" outlineLevel="2" x14ac:dyDescent="0.2">
      <c r="A55" s="132" t="s">
        <v>89</v>
      </c>
      <c r="B55" s="143"/>
      <c r="C55" s="67">
        <v>84.048000000000002</v>
      </c>
      <c r="D55" s="67">
        <v>168.98699999999999</v>
      </c>
      <c r="E55" s="67">
        <v>259.44099999999997</v>
      </c>
      <c r="F55" s="73">
        <f>'Cash Flow - FY'!F55</f>
        <v>342.584</v>
      </c>
      <c r="G55" s="67">
        <v>91.894999999999996</v>
      </c>
      <c r="H55" s="67">
        <v>182.52</v>
      </c>
      <c r="I55" s="67">
        <v>275.226</v>
      </c>
      <c r="J55" s="73">
        <f>'Cash Flow - FY'!G55</f>
        <v>371.45699999999999</v>
      </c>
      <c r="K55" s="67">
        <v>98.203999999999994</v>
      </c>
      <c r="L55" s="67">
        <v>195.107</v>
      </c>
      <c r="M55" s="67">
        <v>293.57299999999998</v>
      </c>
      <c r="N55" s="73">
        <f>'Cash Flow - FY'!H55</f>
        <v>414.52300000000002</v>
      </c>
      <c r="O55" s="67">
        <v>124.88500000000001</v>
      </c>
      <c r="P55" s="67">
        <v>268.21100000000001</v>
      </c>
      <c r="Q55" s="67">
        <v>394.50099999999998</v>
      </c>
      <c r="R55" s="73">
        <f>'Cash Flow - FY'!I55</f>
        <v>527.81799999999998</v>
      </c>
      <c r="S55" s="67">
        <v>133.47499999999999</v>
      </c>
      <c r="T55" s="67">
        <v>261.327</v>
      </c>
      <c r="U55" s="67">
        <v>386.10399999999998</v>
      </c>
      <c r="V55" s="73">
        <f>'Cash Flow - FY'!J55</f>
        <v>517.15200000000004</v>
      </c>
      <c r="W55" s="67">
        <v>126.35599999999999</v>
      </c>
      <c r="X55" s="67">
        <v>254.70099999999999</v>
      </c>
      <c r="Y55" s="67">
        <v>382.07299999999998</v>
      </c>
      <c r="Z55" s="73">
        <f>'Cash Flow - FY'!K55</f>
        <v>517.19200000000001</v>
      </c>
      <c r="AA55" s="67">
        <v>133.14099999999999</v>
      </c>
      <c r="AB55" s="67">
        <v>271.63099999999997</v>
      </c>
      <c r="AC55" s="67">
        <v>411.892</v>
      </c>
      <c r="AD55" s="73">
        <f>'Cash Flow - FY'!L55</f>
        <v>566.68899999999996</v>
      </c>
      <c r="AE55" s="67">
        <v>140.04</v>
      </c>
      <c r="AF55" s="67">
        <v>278.697</v>
      </c>
      <c r="AG55" s="67">
        <v>418.37200000000001</v>
      </c>
    </row>
    <row r="56" spans="1:33" hidden="1" outlineLevel="2" x14ac:dyDescent="0.2">
      <c r="A56" s="132" t="s">
        <v>338</v>
      </c>
      <c r="B56" s="143"/>
      <c r="C56" s="79">
        <f t="shared" ref="C56:R56" si="24">IFERROR(C57+C58,"n.a.")</f>
        <v>133.76499999999999</v>
      </c>
      <c r="D56" s="79">
        <f t="shared" si="24"/>
        <v>252.44499999999999</v>
      </c>
      <c r="E56" s="79">
        <f t="shared" si="24"/>
        <v>351.56599999999997</v>
      </c>
      <c r="F56" s="79">
        <f t="shared" si="24"/>
        <v>427.19</v>
      </c>
      <c r="G56" s="79">
        <f t="shared" si="24"/>
        <v>76.962999999999994</v>
      </c>
      <c r="H56" s="79">
        <f t="shared" si="24"/>
        <v>226.35599999999999</v>
      </c>
      <c r="I56" s="79">
        <f t="shared" si="24"/>
        <v>289.94799999999998</v>
      </c>
      <c r="J56" s="79">
        <f t="shared" si="24"/>
        <v>362.61</v>
      </c>
      <c r="K56" s="79">
        <f t="shared" si="24"/>
        <v>55.185000000000002</v>
      </c>
      <c r="L56" s="79">
        <f t="shared" si="24"/>
        <v>117.946</v>
      </c>
      <c r="M56" s="79">
        <f t="shared" si="24"/>
        <v>138.79900000000001</v>
      </c>
      <c r="N56" s="79">
        <f t="shared" si="24"/>
        <v>196.31100000000001</v>
      </c>
      <c r="O56" s="79">
        <f t="shared" si="24"/>
        <v>48.051000000000002</v>
      </c>
      <c r="P56" s="79">
        <f t="shared" si="24"/>
        <v>10.042999999999992</v>
      </c>
      <c r="Q56" s="79">
        <f t="shared" si="24"/>
        <v>75.166000000000011</v>
      </c>
      <c r="R56" s="79">
        <f t="shared" si="24"/>
        <v>109.47900000000001</v>
      </c>
      <c r="S56" s="79">
        <f>IFERROR(S57+S58,"n.a.")</f>
        <v>32.472999999999985</v>
      </c>
      <c r="T56" s="79">
        <f>IFERROR(T57+T58,"n.a.")</f>
        <v>73.150000000000006</v>
      </c>
      <c r="U56" s="79">
        <f>IFERROR(U57+U58,"n.a.")</f>
        <v>113.31700000000001</v>
      </c>
      <c r="V56" s="73">
        <f>'Cash Flow - FY'!J56</f>
        <v>156.50200000000001</v>
      </c>
      <c r="W56" s="67">
        <v>40.002000000000002</v>
      </c>
      <c r="X56" s="67">
        <v>71.841999999999999</v>
      </c>
      <c r="Y56" s="67">
        <v>106.952</v>
      </c>
      <c r="Z56" s="73">
        <f>'Cash Flow - FY'!K56</f>
        <v>144.28100000000001</v>
      </c>
      <c r="AA56" s="67">
        <v>43.581000000000003</v>
      </c>
      <c r="AB56" s="67">
        <v>89.593000000000004</v>
      </c>
      <c r="AC56" s="67">
        <v>145.11199999999999</v>
      </c>
      <c r="AD56" s="73">
        <f>'Cash Flow - FY'!L56</f>
        <v>201.696</v>
      </c>
      <c r="AE56" s="67">
        <v>52.249000000000002</v>
      </c>
      <c r="AF56" s="67">
        <v>106.846</v>
      </c>
      <c r="AG56" s="67">
        <v>150.13300000000001</v>
      </c>
    </row>
    <row r="57" spans="1:33" hidden="1" outlineLevel="3" x14ac:dyDescent="0.2">
      <c r="A57" s="132" t="s">
        <v>90</v>
      </c>
      <c r="B57" s="143"/>
      <c r="C57" s="67">
        <v>161.99299999999999</v>
      </c>
      <c r="D57" s="67">
        <v>308.697</v>
      </c>
      <c r="E57" s="67">
        <v>413.01299999999998</v>
      </c>
      <c r="F57" s="73">
        <f>'Cash Flow - FY'!F57</f>
        <v>469.99599999999998</v>
      </c>
      <c r="G57" s="67">
        <v>135.523</v>
      </c>
      <c r="H57" s="67">
        <v>322.863</v>
      </c>
      <c r="I57" s="67">
        <v>443.666</v>
      </c>
      <c r="J57" s="73">
        <f>'Cash Flow - FY'!G57</f>
        <v>491.15</v>
      </c>
      <c r="K57" s="67">
        <v>97.045000000000002</v>
      </c>
      <c r="L57" s="67">
        <v>191.001</v>
      </c>
      <c r="M57" s="67">
        <v>249.65700000000001</v>
      </c>
      <c r="N57" s="73">
        <f>'Cash Flow - FY'!H57</f>
        <v>255.173</v>
      </c>
      <c r="O57" s="67">
        <v>66.918000000000006</v>
      </c>
      <c r="P57" s="67">
        <v>131.13999999999999</v>
      </c>
      <c r="Q57" s="67">
        <v>188.71</v>
      </c>
      <c r="R57" s="73">
        <f>'Cash Flow - FY'!I57</f>
        <v>238.24</v>
      </c>
      <c r="S57" s="67">
        <v>191.023</v>
      </c>
      <c r="T57" s="67">
        <v>240.166</v>
      </c>
      <c r="U57" s="67">
        <v>303.82400000000001</v>
      </c>
      <c r="V57" s="73" t="str">
        <f>'Cash Flow - FY'!J57</f>
        <v>n.a.</v>
      </c>
      <c r="W57" s="67" t="s">
        <v>228</v>
      </c>
      <c r="X57" s="67" t="s">
        <v>228</v>
      </c>
      <c r="Y57" s="67" t="s">
        <v>228</v>
      </c>
      <c r="Z57" s="73" t="str">
        <f>'Cash Flow - FY'!K57</f>
        <v>n.a.</v>
      </c>
      <c r="AA57" s="67" t="s">
        <v>228</v>
      </c>
      <c r="AB57" s="67" t="s">
        <v>228</v>
      </c>
      <c r="AC57" s="67" t="s">
        <v>228</v>
      </c>
      <c r="AD57" s="73" t="str">
        <f>'Cash Flow - FY'!L57</f>
        <v>n.a.</v>
      </c>
      <c r="AE57" s="67" t="s">
        <v>228</v>
      </c>
      <c r="AF57" s="67" t="s">
        <v>228</v>
      </c>
      <c r="AG57" s="67" t="s">
        <v>228</v>
      </c>
    </row>
    <row r="58" spans="1:33" hidden="1" outlineLevel="3" x14ac:dyDescent="0.2">
      <c r="A58" s="132" t="s">
        <v>91</v>
      </c>
      <c r="B58" s="143"/>
      <c r="C58" s="67">
        <v>-28.228000000000002</v>
      </c>
      <c r="D58" s="67">
        <v>-56.252000000000002</v>
      </c>
      <c r="E58" s="67">
        <v>-61.447000000000003</v>
      </c>
      <c r="F58" s="73">
        <f>'Cash Flow - FY'!F58</f>
        <v>-42.805999999999997</v>
      </c>
      <c r="G58" s="67">
        <v>-58.56</v>
      </c>
      <c r="H58" s="67">
        <v>-96.507000000000005</v>
      </c>
      <c r="I58" s="67">
        <v>-153.71799999999999</v>
      </c>
      <c r="J58" s="73">
        <f>'Cash Flow - FY'!G58</f>
        <v>-128.54</v>
      </c>
      <c r="K58" s="67">
        <v>-41.86</v>
      </c>
      <c r="L58" s="67">
        <v>-73.055000000000007</v>
      </c>
      <c r="M58" s="67">
        <v>-110.858</v>
      </c>
      <c r="N58" s="73">
        <f>'Cash Flow - FY'!H58</f>
        <v>-58.862000000000002</v>
      </c>
      <c r="O58" s="67">
        <v>-18.867000000000001</v>
      </c>
      <c r="P58" s="67">
        <v>-121.09699999999999</v>
      </c>
      <c r="Q58" s="67">
        <v>-113.544</v>
      </c>
      <c r="R58" s="73">
        <f>'Cash Flow - FY'!I58</f>
        <v>-128.761</v>
      </c>
      <c r="S58" s="67">
        <v>-158.55000000000001</v>
      </c>
      <c r="T58" s="67">
        <v>-167.01599999999999</v>
      </c>
      <c r="U58" s="67">
        <v>-190.50700000000001</v>
      </c>
      <c r="V58" s="73" t="str">
        <f>'Cash Flow - FY'!J58</f>
        <v>n.a.</v>
      </c>
      <c r="W58" s="67" t="s">
        <v>228</v>
      </c>
      <c r="X58" s="67" t="s">
        <v>228</v>
      </c>
      <c r="Y58" s="67" t="s">
        <v>228</v>
      </c>
      <c r="Z58" s="73" t="str">
        <f>'Cash Flow - FY'!K58</f>
        <v>n.a.</v>
      </c>
      <c r="AA58" s="67" t="s">
        <v>228</v>
      </c>
      <c r="AB58" s="67" t="s">
        <v>228</v>
      </c>
      <c r="AC58" s="67" t="s">
        <v>228</v>
      </c>
      <c r="AD58" s="73" t="str">
        <f>'Cash Flow - FY'!L58</f>
        <v>n.a.</v>
      </c>
      <c r="AE58" s="67" t="s">
        <v>228</v>
      </c>
      <c r="AF58" s="67" t="s">
        <v>228</v>
      </c>
      <c r="AG58" s="67" t="s">
        <v>228</v>
      </c>
    </row>
    <row r="59" spans="1:33" hidden="1" outlineLevel="2" x14ac:dyDescent="0.2">
      <c r="A59" s="132" t="s">
        <v>92</v>
      </c>
      <c r="B59" s="143"/>
      <c r="C59" s="67">
        <v>0</v>
      </c>
      <c r="D59" s="67">
        <v>0</v>
      </c>
      <c r="E59" s="67">
        <v>0</v>
      </c>
      <c r="F59" s="73">
        <f>'Cash Flow - FY'!F59</f>
        <v>0</v>
      </c>
      <c r="G59" s="67">
        <v>0</v>
      </c>
      <c r="H59" s="67">
        <v>0</v>
      </c>
      <c r="I59" s="67">
        <v>0</v>
      </c>
      <c r="J59" s="73">
        <f>'Cash Flow - FY'!G59</f>
        <v>0</v>
      </c>
      <c r="K59" s="67">
        <v>0</v>
      </c>
      <c r="L59" s="67">
        <v>0</v>
      </c>
      <c r="M59" s="67">
        <v>0</v>
      </c>
      <c r="N59" s="73">
        <f>'Cash Flow - FY'!H59</f>
        <v>0</v>
      </c>
      <c r="O59" s="67">
        <v>0</v>
      </c>
      <c r="P59" s="67">
        <v>0</v>
      </c>
      <c r="Q59" s="67">
        <v>0</v>
      </c>
      <c r="R59" s="73">
        <f>'Cash Flow - FY'!I59</f>
        <v>0</v>
      </c>
      <c r="S59" s="67">
        <v>0</v>
      </c>
      <c r="T59" s="67">
        <v>0</v>
      </c>
      <c r="U59" s="67">
        <v>0</v>
      </c>
      <c r="V59" s="73">
        <f>'Cash Flow - FY'!J59</f>
        <v>0</v>
      </c>
      <c r="W59" s="67">
        <v>0</v>
      </c>
      <c r="X59" s="67">
        <v>0</v>
      </c>
      <c r="Y59" s="67">
        <v>0</v>
      </c>
      <c r="Z59" s="73">
        <f>'Cash Flow - FY'!K59</f>
        <v>0</v>
      </c>
      <c r="AA59" s="67">
        <v>0</v>
      </c>
      <c r="AB59" s="67">
        <v>0</v>
      </c>
      <c r="AC59" s="67">
        <v>0</v>
      </c>
      <c r="AD59" s="73">
        <f>'Cash Flow - FY'!L59</f>
        <v>0</v>
      </c>
      <c r="AE59" s="67">
        <v>0</v>
      </c>
      <c r="AF59" s="67">
        <v>0</v>
      </c>
      <c r="AG59" s="67">
        <v>0</v>
      </c>
    </row>
    <row r="60" spans="1:33" hidden="1" outlineLevel="2" x14ac:dyDescent="0.2">
      <c r="A60" s="132" t="s">
        <v>93</v>
      </c>
      <c r="B60" s="143"/>
      <c r="C60" s="67">
        <v>0</v>
      </c>
      <c r="D60" s="67">
        <v>-1.7969999999999999</v>
      </c>
      <c r="E60" s="67">
        <v>-1.796</v>
      </c>
      <c r="F60" s="73">
        <f>'Cash Flow - FY'!F60</f>
        <v>-6.65</v>
      </c>
      <c r="G60" s="67">
        <v>0</v>
      </c>
      <c r="H60" s="67">
        <v>-4.8000000000000001E-2</v>
      </c>
      <c r="I60" s="67">
        <v>-0.13700000000000001</v>
      </c>
      <c r="J60" s="73">
        <f>'Cash Flow - FY'!G60</f>
        <v>-9.8339999999999996</v>
      </c>
      <c r="K60" s="67">
        <v>0</v>
      </c>
      <c r="L60" s="67">
        <v>-0.59599999999999997</v>
      </c>
      <c r="M60" s="67">
        <v>-1.6719999999999999</v>
      </c>
      <c r="N60" s="73">
        <f>'Cash Flow - FY'!H60</f>
        <v>-4.1760000000000002</v>
      </c>
      <c r="O60" s="67">
        <v>0</v>
      </c>
      <c r="P60" s="67">
        <v>-1.724</v>
      </c>
      <c r="Q60" s="67">
        <v>-4.556</v>
      </c>
      <c r="R60" s="73">
        <f>'Cash Flow - FY'!I60</f>
        <v>-5.5259999999999998</v>
      </c>
      <c r="S60" s="67">
        <v>0</v>
      </c>
      <c r="T60" s="67">
        <v>-6.5000000000000002E-2</v>
      </c>
      <c r="U60" s="67">
        <v>-6.5000000000000002E-2</v>
      </c>
      <c r="V60" s="73">
        <f>'Cash Flow - FY'!J60</f>
        <v>-6.5000000000000002E-2</v>
      </c>
      <c r="W60" s="67">
        <v>-1E-3</v>
      </c>
      <c r="X60" s="67">
        <v>-0.96099999999999997</v>
      </c>
      <c r="Y60" s="67">
        <v>-0.97199999999999998</v>
      </c>
      <c r="Z60" s="73">
        <f>'Cash Flow - FY'!K60</f>
        <v>-2.274</v>
      </c>
      <c r="AA60" s="67">
        <v>0</v>
      </c>
      <c r="AB60" s="67">
        <v>-1.554</v>
      </c>
      <c r="AC60" s="67">
        <v>-1.5549999999999999</v>
      </c>
      <c r="AD60" s="73">
        <f>'Cash Flow - FY'!L60</f>
        <v>-3.0510000000000002</v>
      </c>
      <c r="AE60" s="67">
        <v>0</v>
      </c>
      <c r="AF60" s="67">
        <v>-1.552</v>
      </c>
      <c r="AG60" s="67">
        <v>-2.2839999999999998</v>
      </c>
    </row>
    <row r="61" spans="1:33" hidden="1" outlineLevel="2" x14ac:dyDescent="0.2">
      <c r="A61" s="132" t="s">
        <v>94</v>
      </c>
      <c r="B61" s="143"/>
      <c r="C61" s="67">
        <v>6.7030000000000003</v>
      </c>
      <c r="D61" s="67">
        <v>11.750999999999999</v>
      </c>
      <c r="E61" s="67">
        <v>11.76</v>
      </c>
      <c r="F61" s="73">
        <f>'Cash Flow - FY'!F61</f>
        <v>25.442</v>
      </c>
      <c r="G61" s="67">
        <v>-6.5000000000000002E-2</v>
      </c>
      <c r="H61" s="67">
        <v>7.3689999999999998</v>
      </c>
      <c r="I61" s="67">
        <v>10.071999999999999</v>
      </c>
      <c r="J61" s="73">
        <f>'Cash Flow - FY'!G61</f>
        <v>8.4369999999999994</v>
      </c>
      <c r="K61" s="67">
        <v>-4.01</v>
      </c>
      <c r="L61" s="67">
        <v>-3.133</v>
      </c>
      <c r="M61" s="67">
        <v>-2.4020000000000001</v>
      </c>
      <c r="N61" s="73">
        <f>'Cash Flow - FY'!H61</f>
        <v>-2.4039999999999999</v>
      </c>
      <c r="O61" s="67">
        <v>-1.6819999999999999</v>
      </c>
      <c r="P61" s="67">
        <v>-1.7869999999999999</v>
      </c>
      <c r="Q61" s="67">
        <v>-1.6830000000000001</v>
      </c>
      <c r="R61" s="73">
        <f>'Cash Flow - FY'!I61</f>
        <v>6.8540000000000001</v>
      </c>
      <c r="S61" s="67">
        <v>0.85299999999999998</v>
      </c>
      <c r="T61" s="67">
        <v>0.84699999999999998</v>
      </c>
      <c r="U61" s="67">
        <v>0.84699999999999998</v>
      </c>
      <c r="V61" s="73">
        <f>'Cash Flow - FY'!J61</f>
        <v>-0.29299999999999998</v>
      </c>
      <c r="W61" s="67">
        <v>5.0000000000000001E-3</v>
      </c>
      <c r="X61" s="67">
        <v>-1.6E-2</v>
      </c>
      <c r="Y61" s="67">
        <v>-1.0999999999999999E-2</v>
      </c>
      <c r="Z61" s="73">
        <f>'Cash Flow - FY'!K61</f>
        <v>-7.0000000000000001E-3</v>
      </c>
      <c r="AA61" s="67">
        <v>0</v>
      </c>
      <c r="AB61" s="67">
        <v>0.106</v>
      </c>
      <c r="AC61" s="67">
        <v>0.11799999999999999</v>
      </c>
      <c r="AD61" s="73">
        <f>'Cash Flow - FY'!L61</f>
        <v>0.123</v>
      </c>
      <c r="AE61" s="67">
        <v>-0.13300000000000001</v>
      </c>
      <c r="AF61" s="67">
        <v>-0.13300000000000001</v>
      </c>
      <c r="AG61" s="67">
        <v>-0.13300000000000001</v>
      </c>
    </row>
    <row r="62" spans="1:33" hidden="1" outlineLevel="2" x14ac:dyDescent="0.2">
      <c r="A62" s="132" t="s">
        <v>95</v>
      </c>
      <c r="B62" s="143"/>
      <c r="C62" s="67">
        <v>35.779000000000003</v>
      </c>
      <c r="D62" s="67">
        <v>38.835000000000001</v>
      </c>
      <c r="E62" s="67">
        <v>42.765000000000001</v>
      </c>
      <c r="F62" s="73">
        <f>'Cash Flow - FY'!F62</f>
        <v>1.2270000000000001</v>
      </c>
      <c r="G62" s="67">
        <v>3.2</v>
      </c>
      <c r="H62" s="67">
        <v>5.56</v>
      </c>
      <c r="I62" s="67">
        <v>8.6560000000000006</v>
      </c>
      <c r="J62" s="73">
        <f>'Cash Flow - FY'!G62</f>
        <v>8.2520000000000007</v>
      </c>
      <c r="K62" s="67">
        <v>3.2370000000000001</v>
      </c>
      <c r="L62" s="67">
        <v>8.2579999999999991</v>
      </c>
      <c r="M62" s="67">
        <v>11.9</v>
      </c>
      <c r="N62" s="73">
        <f>'Cash Flow - FY'!H62</f>
        <v>11.56</v>
      </c>
      <c r="O62" s="67">
        <v>-0.33</v>
      </c>
      <c r="P62" s="67">
        <v>1.355</v>
      </c>
      <c r="Q62" s="67">
        <v>4.8689999999999998</v>
      </c>
      <c r="R62" s="73">
        <f>'Cash Flow - FY'!I62</f>
        <v>9.6780000000000008</v>
      </c>
      <c r="S62" s="67">
        <v>4.4349999999999996</v>
      </c>
      <c r="T62" s="67">
        <v>3.851</v>
      </c>
      <c r="U62" s="67">
        <v>5.3259999999999996</v>
      </c>
      <c r="V62" s="73">
        <f>'Cash Flow - FY'!J62</f>
        <v>5.6289999999999996</v>
      </c>
      <c r="W62" s="67">
        <v>8.7999999999999995E-2</v>
      </c>
      <c r="X62" s="67">
        <v>-0.995</v>
      </c>
      <c r="Y62" s="67">
        <v>-0.63</v>
      </c>
      <c r="Z62" s="73">
        <f>'Cash Flow - FY'!K62</f>
        <v>-1.6970000000000001</v>
      </c>
      <c r="AA62" s="67">
        <v>-0.76900000000000002</v>
      </c>
      <c r="AB62" s="67">
        <v>-0.873</v>
      </c>
      <c r="AC62" s="67">
        <v>-1.65</v>
      </c>
      <c r="AD62" s="73">
        <f>'Cash Flow - FY'!L62</f>
        <v>-2.92</v>
      </c>
      <c r="AE62" s="67">
        <v>-2.19</v>
      </c>
      <c r="AF62" s="67">
        <v>-4.5270000000000001</v>
      </c>
      <c r="AG62" s="67">
        <v>-6.4649999999999999</v>
      </c>
    </row>
    <row r="63" spans="1:33" s="22" customFormat="1" hidden="1" outlineLevel="1" x14ac:dyDescent="0.2">
      <c r="A63" s="91" t="s">
        <v>111</v>
      </c>
      <c r="B63" s="152"/>
      <c r="C63" s="153">
        <f t="shared" ref="C63:U63" si="25">IFERROR(C54+C55+C56+C59+C60+C61+C62,"n.a.")</f>
        <v>250.19499999999999</v>
      </c>
      <c r="D63" s="153">
        <f t="shared" si="25"/>
        <v>516.875</v>
      </c>
      <c r="E63" s="153">
        <f t="shared" si="25"/>
        <v>773.13599999999985</v>
      </c>
      <c r="F63" s="153">
        <f t="shared" si="25"/>
        <v>1029.0360000000001</v>
      </c>
      <c r="G63" s="153">
        <f t="shared" si="25"/>
        <v>260.59299999999996</v>
      </c>
      <c r="H63" s="153">
        <f t="shared" si="25"/>
        <v>433.08300000000003</v>
      </c>
      <c r="I63" s="153">
        <f t="shared" si="25"/>
        <v>816.26499999999999</v>
      </c>
      <c r="J63" s="153">
        <f t="shared" si="25"/>
        <v>1045.0569999999996</v>
      </c>
      <c r="K63" s="153">
        <f t="shared" si="25"/>
        <v>282.21600000000007</v>
      </c>
      <c r="L63" s="153">
        <f t="shared" si="25"/>
        <v>572.80499999999995</v>
      </c>
      <c r="M63" s="153">
        <f t="shared" si="25"/>
        <v>884.9849999999999</v>
      </c>
      <c r="N63" s="153">
        <f t="shared" si="25"/>
        <v>1117.6139999999998</v>
      </c>
      <c r="O63" s="153">
        <f t="shared" si="25"/>
        <v>307.95799999999997</v>
      </c>
      <c r="P63" s="153">
        <f t="shared" si="25"/>
        <v>693.20799999999997</v>
      </c>
      <c r="Q63" s="153">
        <f t="shared" si="25"/>
        <v>992.3599999999999</v>
      </c>
      <c r="R63" s="153">
        <f t="shared" si="25"/>
        <v>1270.5620000000001</v>
      </c>
      <c r="S63" s="153">
        <f t="shared" si="25"/>
        <v>221.84599999999998</v>
      </c>
      <c r="T63" s="153">
        <f t="shared" si="25"/>
        <v>204.52</v>
      </c>
      <c r="U63" s="153">
        <f t="shared" si="25"/>
        <v>481.76599999999996</v>
      </c>
      <c r="V63" s="153">
        <f t="shared" ref="V63:AB63" si="26">IFERROR(V54+V55+V56+V59+V60+V61+V62,"n.a.")</f>
        <v>736.29099999999994</v>
      </c>
      <c r="W63" s="153">
        <f t="shared" si="26"/>
        <v>223.76</v>
      </c>
      <c r="X63" s="153">
        <f t="shared" si="26"/>
        <v>503.30499999999995</v>
      </c>
      <c r="Y63" s="153">
        <f t="shared" si="26"/>
        <v>808.38900000000012</v>
      </c>
      <c r="Z63" s="153">
        <f t="shared" si="26"/>
        <v>1094.2459999999999</v>
      </c>
      <c r="AA63" s="153">
        <f t="shared" si="26"/>
        <v>325.745</v>
      </c>
      <c r="AB63" s="153">
        <f t="shared" si="26"/>
        <v>676.85199999999998</v>
      </c>
      <c r="AC63" s="153">
        <f>IFERROR(AC54+AC55+AC56+AC59+AC60+AC61+AC62-0.1,"n.a.")</f>
        <v>1044.056</v>
      </c>
      <c r="AD63" s="153">
        <f>IFERROR(AD54+AD55+AD56+AD59+AD60+AD61+AD62,"n.a.")</f>
        <v>1358.1669999999999</v>
      </c>
      <c r="AE63" s="153">
        <f>IFERROR(AE54+AE55+AE56+AE59+AE60+AE61+AE62,"n.a.")</f>
        <v>350.76400000000001</v>
      </c>
      <c r="AF63" s="153">
        <f>IFERROR(AF54+AF55+AF56+AF59+AF60+AF61+AF62,"n.a.")</f>
        <v>718.61099999999999</v>
      </c>
      <c r="AG63" s="153">
        <f>IFERROR(AG54+AG55+AG56+AG59+AG60+AG61+AG62,"n.a.")</f>
        <v>1086.6392510000039</v>
      </c>
    </row>
    <row r="64" spans="1:33" hidden="1" outlineLevel="1" x14ac:dyDescent="0.2">
      <c r="A64" s="134" t="s">
        <v>305</v>
      </c>
      <c r="B64" s="143"/>
      <c r="C64" s="67">
        <v>6.4390000000000001</v>
      </c>
      <c r="D64" s="67">
        <v>-15.968</v>
      </c>
      <c r="E64" s="67">
        <v>1.27</v>
      </c>
      <c r="F64" s="73">
        <f>'Cash Flow - FY'!F64</f>
        <v>-39.481999999999999</v>
      </c>
      <c r="G64" s="67">
        <v>2.5680000000000001</v>
      </c>
      <c r="H64" s="67">
        <v>1.992</v>
      </c>
      <c r="I64" s="67">
        <v>14.188000000000001</v>
      </c>
      <c r="J64" s="73">
        <f>'Cash Flow - FY'!G64</f>
        <v>-41.734000000000002</v>
      </c>
      <c r="K64" s="67">
        <v>-9.657</v>
      </c>
      <c r="L64" s="67">
        <v>-3.6789999999999998</v>
      </c>
      <c r="M64" s="67">
        <v>3.8780000000000001</v>
      </c>
      <c r="N64" s="73">
        <f>'Cash Flow - FY'!H64</f>
        <v>-12.914999999999999</v>
      </c>
      <c r="O64" s="67">
        <v>10.521000000000001</v>
      </c>
      <c r="P64" s="67">
        <v>-8.6530000000000005</v>
      </c>
      <c r="Q64" s="67">
        <v>15.8</v>
      </c>
      <c r="R64" s="73">
        <f>'Cash Flow - FY'!I64</f>
        <v>37.509</v>
      </c>
      <c r="S64" s="67">
        <v>11.007</v>
      </c>
      <c r="T64" s="67">
        <v>32.517000000000003</v>
      </c>
      <c r="U64" s="67">
        <v>48.283999999999999</v>
      </c>
      <c r="V64" s="73">
        <f>'Cash Flow - FY'!J64</f>
        <v>64.781000000000006</v>
      </c>
      <c r="W64" s="67">
        <v>23.948</v>
      </c>
      <c r="X64" s="67">
        <v>56.252000000000002</v>
      </c>
      <c r="Y64" s="67">
        <v>84.873999999999995</v>
      </c>
      <c r="Z64" s="73">
        <f>'Cash Flow - FY'!K64</f>
        <v>133.96299999999999</v>
      </c>
      <c r="AA64" s="67">
        <v>34.832999999999998</v>
      </c>
      <c r="AB64" s="67">
        <v>17.396000000000001</v>
      </c>
      <c r="AC64" s="67">
        <v>106.02500000000001</v>
      </c>
      <c r="AD64" s="73">
        <f>'Cash Flow - FY'!L64</f>
        <v>141.28328688985508</v>
      </c>
      <c r="AE64" s="67">
        <v>14.398</v>
      </c>
      <c r="AF64" s="67">
        <v>44.829000000000001</v>
      </c>
      <c r="AG64" s="67">
        <v>67.950405138100507</v>
      </c>
    </row>
    <row r="65" spans="1:34" hidden="1" outlineLevel="1" x14ac:dyDescent="0.2">
      <c r="A65" s="134" t="s">
        <v>368</v>
      </c>
      <c r="B65" s="143"/>
      <c r="C65" s="67">
        <v>-26.7</v>
      </c>
      <c r="D65" s="67">
        <v>-59.9</v>
      </c>
      <c r="E65" s="67">
        <v>-95.5</v>
      </c>
      <c r="F65" s="73">
        <f>'Cash Flow - FY'!F65</f>
        <v>-104.456</v>
      </c>
      <c r="G65" s="67">
        <v>-45.664000000000001</v>
      </c>
      <c r="H65" s="67">
        <v>-11.331</v>
      </c>
      <c r="I65" s="67">
        <v>-33.701000000000001</v>
      </c>
      <c r="J65" s="73">
        <f>'Cash Flow - FY'!G65</f>
        <v>-135.5</v>
      </c>
      <c r="K65" s="67">
        <v>-31.077999999999999</v>
      </c>
      <c r="L65" s="67">
        <v>-67.25</v>
      </c>
      <c r="M65" s="67">
        <v>-101.11799999999999</v>
      </c>
      <c r="N65" s="73">
        <f>'Cash Flow - FY'!H65</f>
        <v>-119.042</v>
      </c>
      <c r="O65" s="67">
        <v>-30.146999999999998</v>
      </c>
      <c r="P65" s="67">
        <v>-75.992000000000004</v>
      </c>
      <c r="Q65" s="67">
        <v>-113.379</v>
      </c>
      <c r="R65" s="73">
        <f>'Cash Flow - FY'!I65</f>
        <v>-141.98500000000001</v>
      </c>
      <c r="S65" s="67">
        <v>-31.42</v>
      </c>
      <c r="T65" s="67">
        <v>-53.774000000000001</v>
      </c>
      <c r="U65" s="67">
        <v>-69.97</v>
      </c>
      <c r="V65" s="73">
        <f>'Cash Flow - FY'!J65</f>
        <v>-90.691999999999993</v>
      </c>
      <c r="W65" s="67">
        <v>-37.052</v>
      </c>
      <c r="X65" s="67">
        <v>-71.983000000000004</v>
      </c>
      <c r="Y65" s="67">
        <v>-98.765000000000001</v>
      </c>
      <c r="Z65" s="73">
        <f>'Cash Flow - FY'!K65</f>
        <v>-125.634</v>
      </c>
      <c r="AA65" s="67">
        <v>-32.908000000000001</v>
      </c>
      <c r="AB65" s="67">
        <v>-104.432</v>
      </c>
      <c r="AC65" s="67">
        <v>-151.20099999999999</v>
      </c>
      <c r="AD65" s="73">
        <f>'Cash Flow - FY'!L65</f>
        <v>-205.45545425319079</v>
      </c>
      <c r="AE65" s="67">
        <v>-28.986000000000001</v>
      </c>
      <c r="AF65" s="67">
        <v>-61.310499999999998</v>
      </c>
      <c r="AG65" s="67">
        <v>-105.05621869962258</v>
      </c>
    </row>
    <row r="66" spans="1:34" hidden="1" outlineLevel="1" x14ac:dyDescent="0.2">
      <c r="A66" s="134" t="s">
        <v>97</v>
      </c>
      <c r="B66" s="143"/>
      <c r="C66" s="67">
        <v>-22.712</v>
      </c>
      <c r="D66" s="67">
        <v>1.1319999999999999</v>
      </c>
      <c r="E66" s="67">
        <v>50.871000000000002</v>
      </c>
      <c r="F66" s="73">
        <f>'Cash Flow - FY'!F66</f>
        <v>48.28</v>
      </c>
      <c r="G66" s="67">
        <v>-28.573</v>
      </c>
      <c r="H66" s="67">
        <v>-103.611</v>
      </c>
      <c r="I66" s="67">
        <v>-126.146</v>
      </c>
      <c r="J66" s="73">
        <f>'Cash Flow - FY'!G66</f>
        <v>-109.76808642764956</v>
      </c>
      <c r="K66" s="67">
        <v>-5.2969999999999997</v>
      </c>
      <c r="L66" s="67">
        <v>-74.164000000000001</v>
      </c>
      <c r="M66" s="67">
        <v>-153.292</v>
      </c>
      <c r="N66" s="73">
        <f>'Cash Flow - FY'!H66</f>
        <v>-199.91900000000001</v>
      </c>
      <c r="O66" s="67">
        <v>-22.036999999999999</v>
      </c>
      <c r="P66" s="67">
        <v>-29.71</v>
      </c>
      <c r="Q66" s="67">
        <v>23.445</v>
      </c>
      <c r="R66" s="73">
        <f>'Cash Flow - FY'!I66</f>
        <v>28.3</v>
      </c>
      <c r="S66" s="67">
        <v>-114.581</v>
      </c>
      <c r="T66" s="67">
        <v>42.34</v>
      </c>
      <c r="U66" s="67">
        <v>159.66900000000001</v>
      </c>
      <c r="V66" s="73">
        <f>'Cash Flow - FY'!J66</f>
        <v>140.64500000000001</v>
      </c>
      <c r="W66" s="67">
        <v>-30.141999999999999</v>
      </c>
      <c r="X66" s="67">
        <v>-104.43899999999999</v>
      </c>
      <c r="Y66" s="67">
        <v>-121.349</v>
      </c>
      <c r="Z66" s="73">
        <f>'Cash Flow - FY'!K66</f>
        <v>-222.495</v>
      </c>
      <c r="AA66" s="67">
        <v>-102.193</v>
      </c>
      <c r="AB66" s="67">
        <v>-228.22499999999999</v>
      </c>
      <c r="AC66" s="67">
        <v>-273.99900000000002</v>
      </c>
      <c r="AD66" s="73">
        <f>'Cash Flow - FY'!L66</f>
        <v>-342.32219752160574</v>
      </c>
      <c r="AE66" s="67">
        <v>-18.832999999999998</v>
      </c>
      <c r="AF66" s="67">
        <v>10.676</v>
      </c>
      <c r="AG66" s="67">
        <v>51.51363844234973</v>
      </c>
    </row>
    <row r="67" spans="1:34" hidden="1" outlineLevel="1" x14ac:dyDescent="0.2">
      <c r="A67" s="134" t="s">
        <v>98</v>
      </c>
      <c r="B67" s="143"/>
      <c r="C67" s="67">
        <v>-182.13800000000001</v>
      </c>
      <c r="D67" s="67">
        <v>-282.31599999999997</v>
      </c>
      <c r="E67" s="67">
        <v>-131.714</v>
      </c>
      <c r="F67" s="73">
        <f>'Cash Flow - FY'!F67</f>
        <v>144.917</v>
      </c>
      <c r="G67" s="67">
        <v>-265</v>
      </c>
      <c r="H67" s="67">
        <v>-235.98500000000001</v>
      </c>
      <c r="I67" s="67">
        <v>-299.084</v>
      </c>
      <c r="J67" s="73">
        <f>'Cash Flow - FY'!G67</f>
        <v>73.644000000000005</v>
      </c>
      <c r="K67" s="67">
        <v>-232.499</v>
      </c>
      <c r="L67" s="67">
        <v>-236.49700000000001</v>
      </c>
      <c r="M67" s="67">
        <v>-355.89699999999999</v>
      </c>
      <c r="N67" s="73">
        <f>'Cash Flow - FY'!H67</f>
        <v>-23.388000000000002</v>
      </c>
      <c r="O67" s="67">
        <v>-223.31399999999999</v>
      </c>
      <c r="P67" s="67">
        <v>-236.67500000000001</v>
      </c>
      <c r="Q67" s="67">
        <v>-357.00700000000001</v>
      </c>
      <c r="R67" s="73">
        <f>'Cash Flow - FY'!I67</f>
        <v>-44.637</v>
      </c>
      <c r="S67" s="67">
        <v>-60.811999999999998</v>
      </c>
      <c r="T67" s="67">
        <v>-39.002000000000002</v>
      </c>
      <c r="U67" s="67">
        <v>-397.72199999999998</v>
      </c>
      <c r="V67" s="73">
        <f>'Cash Flow - FY'!J67</f>
        <v>-35.323999999999998</v>
      </c>
      <c r="W67" s="67">
        <v>-208.584</v>
      </c>
      <c r="X67" s="67">
        <v>-190.256</v>
      </c>
      <c r="Y67" s="67">
        <v>-328.95800000000003</v>
      </c>
      <c r="Z67" s="73">
        <f>'Cash Flow - FY'!K67</f>
        <v>-51.351999999999997</v>
      </c>
      <c r="AA67" s="67">
        <v>-233.976</v>
      </c>
      <c r="AB67" s="67">
        <v>-215.173</v>
      </c>
      <c r="AC67" s="67">
        <v>-419.69299999999998</v>
      </c>
      <c r="AD67" s="73">
        <f>'Cash Flow - FY'!L67</f>
        <v>37.375854999999923</v>
      </c>
      <c r="AE67" s="67">
        <v>-307.17399999999998</v>
      </c>
      <c r="AF67" s="67">
        <v>-290.786</v>
      </c>
      <c r="AG67" s="67">
        <v>-487.72839299999987</v>
      </c>
    </row>
    <row r="68" spans="1:34" hidden="1" outlineLevel="1" x14ac:dyDescent="0.2">
      <c r="A68" s="134" t="s">
        <v>99</v>
      </c>
      <c r="B68" s="143"/>
      <c r="C68" s="67">
        <v>-412.27499999999998</v>
      </c>
      <c r="D68" s="67">
        <v>-181.399</v>
      </c>
      <c r="E68" s="67">
        <v>-277.63799999999998</v>
      </c>
      <c r="F68" s="73">
        <f>'Cash Flow - FY'!F68</f>
        <v>201.845</v>
      </c>
      <c r="G68" s="67">
        <v>-284.84399999999999</v>
      </c>
      <c r="H68" s="67">
        <v>-97.983999999999995</v>
      </c>
      <c r="I68" s="67">
        <v>-187.358</v>
      </c>
      <c r="J68" s="73">
        <f>'Cash Flow - FY'!G68</f>
        <v>447.38499999999999</v>
      </c>
      <c r="K68" s="67">
        <v>-553.1</v>
      </c>
      <c r="L68" s="67">
        <v>-497.80399999999997</v>
      </c>
      <c r="M68" s="67">
        <v>-483.89299999999997</v>
      </c>
      <c r="N68" s="73">
        <f>'Cash Flow - FY'!H68</f>
        <v>104.663</v>
      </c>
      <c r="O68" s="67">
        <v>-483.46800000000002</v>
      </c>
      <c r="P68" s="67">
        <v>-412.33300000000003</v>
      </c>
      <c r="Q68" s="67">
        <v>-455.10399999999998</v>
      </c>
      <c r="R68" s="73">
        <f>'Cash Flow - FY'!I68</f>
        <v>18.815000000000001</v>
      </c>
      <c r="S68" s="67">
        <v>-577.68799999999999</v>
      </c>
      <c r="T68" s="67">
        <v>-649.01099999999997</v>
      </c>
      <c r="U68" s="67">
        <v>-660.63499999999999</v>
      </c>
      <c r="V68" s="73">
        <f>'Cash Flow - FY'!J68</f>
        <v>-184.60400000000001</v>
      </c>
      <c r="W68" s="67">
        <v>-416.53300000000002</v>
      </c>
      <c r="X68" s="67">
        <v>-326.81900000000002</v>
      </c>
      <c r="Y68" s="67">
        <v>-249.52099999999999</v>
      </c>
      <c r="Z68" s="73">
        <f>'Cash Flow - FY'!K68</f>
        <v>214.512</v>
      </c>
      <c r="AA68" s="67">
        <v>-422.29500000000002</v>
      </c>
      <c r="AB68" s="67">
        <v>-221.19900000000001</v>
      </c>
      <c r="AC68" s="67">
        <v>-81.831999999999994</v>
      </c>
      <c r="AD68" s="73">
        <f>'Cash Flow - FY'!L68</f>
        <v>272.84186700000004</v>
      </c>
      <c r="AE68" s="67">
        <v>-499.77</v>
      </c>
      <c r="AF68" s="67">
        <v>-429.875</v>
      </c>
      <c r="AG68" s="67">
        <v>-340.50620700000007</v>
      </c>
    </row>
    <row r="69" spans="1:34" hidden="1" outlineLevel="1" x14ac:dyDescent="0.2">
      <c r="A69" s="134" t="s">
        <v>100</v>
      </c>
      <c r="B69" s="143"/>
      <c r="C69" s="67">
        <v>-47.5</v>
      </c>
      <c r="D69" s="67">
        <v>-137.19999999999999</v>
      </c>
      <c r="E69" s="67">
        <v>-206.1</v>
      </c>
      <c r="F69" s="73">
        <f>'Cash Flow - FY'!F69</f>
        <v>-38.462000000000003</v>
      </c>
      <c r="G69" s="67">
        <v>-151.042</v>
      </c>
      <c r="H69" s="67">
        <v>-219.03</v>
      </c>
      <c r="I69" s="67">
        <v>-198.107</v>
      </c>
      <c r="J69" s="73">
        <f>'Cash Flow - FY'!G69</f>
        <v>-39.423000000000002</v>
      </c>
      <c r="K69" s="67">
        <v>-122.944</v>
      </c>
      <c r="L69" s="67">
        <v>-169.75</v>
      </c>
      <c r="M69" s="67">
        <v>-159.69300000000001</v>
      </c>
      <c r="N69" s="73">
        <f>'Cash Flow - FY'!H69</f>
        <v>-151.42500000000001</v>
      </c>
      <c r="O69" s="67">
        <v>-84.421999999999997</v>
      </c>
      <c r="P69" s="67">
        <f>-88.841-71.765</f>
        <v>-160.60599999999999</v>
      </c>
      <c r="Q69" s="67">
        <f>-81.212-71.773</f>
        <v>-152.98500000000001</v>
      </c>
      <c r="R69" s="79">
        <f>IFERROR(R70+R71,"n.a.")</f>
        <v>-79.606999999999999</v>
      </c>
      <c r="S69" s="79">
        <f>IFERROR(S70+S71,"n.a.")</f>
        <v>-95.513999999999996</v>
      </c>
      <c r="T69" s="79">
        <f t="shared" ref="T69:Y69" si="27">IFERROR(T70+T71,"n.a.")</f>
        <v>-70.569000000000003</v>
      </c>
      <c r="U69" s="79">
        <f t="shared" si="27"/>
        <v>13.847999999999999</v>
      </c>
      <c r="V69" s="79">
        <f t="shared" si="27"/>
        <v>82.480999999999995</v>
      </c>
      <c r="W69" s="79">
        <f t="shared" si="27"/>
        <v>-47.527000000000001</v>
      </c>
      <c r="X69" s="79">
        <f t="shared" si="27"/>
        <v>-53.466999999999999</v>
      </c>
      <c r="Y69" s="79">
        <f t="shared" si="27"/>
        <v>-42.143000000000001</v>
      </c>
      <c r="Z69" s="79">
        <f>IFERROR(Z70+Z71,"n.a.")</f>
        <v>-35.350999999999999</v>
      </c>
      <c r="AA69" s="79">
        <f>IFERROR(AA70+AA71,"n.a.")</f>
        <v>-69.495999999999995</v>
      </c>
      <c r="AB69" s="79">
        <f>IFERROR(AB70+AB71,"n.a.")</f>
        <v>-80.248999999999995</v>
      </c>
      <c r="AC69" s="79">
        <f>IFERROR(AC70+AC71-0.1,"n.a.")</f>
        <v>-79.638999999999996</v>
      </c>
      <c r="AD69" s="79">
        <f>IFERROR(AD70+AD71,"n.a.")</f>
        <v>-22.602629570575285</v>
      </c>
      <c r="AE69" s="79">
        <f>IFERROR(AE70+AE71,"n.a.")</f>
        <v>24.945999999999998</v>
      </c>
      <c r="AF69" s="79">
        <f>IFERROR(AF70+AF71,"n.a.")</f>
        <v>-86.956000000000003</v>
      </c>
      <c r="AG69" s="79">
        <f>IFERROR(AG70+AG71,"n.a.")</f>
        <v>-47.446755288222121</v>
      </c>
    </row>
    <row r="70" spans="1:34" hidden="1" outlineLevel="2" x14ac:dyDescent="0.2">
      <c r="A70" s="132" t="s">
        <v>347</v>
      </c>
      <c r="B70" s="143"/>
      <c r="C70" s="67" t="s">
        <v>228</v>
      </c>
      <c r="D70" s="67" t="s">
        <v>228</v>
      </c>
      <c r="E70" s="67" t="s">
        <v>228</v>
      </c>
      <c r="F70" s="73" t="str">
        <f>'Cash Flow - FY'!F70</f>
        <v>n.a.</v>
      </c>
      <c r="G70" s="67" t="s">
        <v>228</v>
      </c>
      <c r="H70" s="67" t="s">
        <v>228</v>
      </c>
      <c r="I70" s="67" t="s">
        <v>228</v>
      </c>
      <c r="J70" s="73" t="str">
        <f>'Cash Flow - FY'!G70</f>
        <v>n.a.</v>
      </c>
      <c r="K70" s="67" t="s">
        <v>228</v>
      </c>
      <c r="L70" s="67" t="s">
        <v>228</v>
      </c>
      <c r="M70" s="67" t="s">
        <v>228</v>
      </c>
      <c r="N70" s="73" t="str">
        <f>'Cash Flow - FY'!H70</f>
        <v>n.a.</v>
      </c>
      <c r="O70" s="67" t="s">
        <v>228</v>
      </c>
      <c r="P70" s="67" t="s">
        <v>228</v>
      </c>
      <c r="Q70" s="67" t="s">
        <v>228</v>
      </c>
      <c r="R70" s="73">
        <f>'Cash Flow - FY'!I70</f>
        <v>-32.161000000000001</v>
      </c>
      <c r="S70" s="67">
        <v>-58.04</v>
      </c>
      <c r="T70" s="67">
        <v>-90.247</v>
      </c>
      <c r="U70" s="67">
        <v>-68.698999999999998</v>
      </c>
      <c r="V70" s="73">
        <f>'Cash Flow - FY'!J70</f>
        <v>21.925999999999998</v>
      </c>
      <c r="W70" s="67">
        <v>-29.504000000000001</v>
      </c>
      <c r="X70" s="67">
        <v>-55.9</v>
      </c>
      <c r="Y70" s="67">
        <v>-4.524</v>
      </c>
      <c r="Z70" s="73">
        <f>'Cash Flow - FY'!K70</f>
        <v>23.745000000000001</v>
      </c>
      <c r="AA70" s="67">
        <v>-62.08</v>
      </c>
      <c r="AB70" s="67">
        <v>-21.515000000000001</v>
      </c>
      <c r="AC70" s="67">
        <v>-49.959000000000003</v>
      </c>
      <c r="AD70" s="73">
        <f>'Cash Flow - FY'!L70</f>
        <v>-50.502466804980344</v>
      </c>
      <c r="AE70" s="67">
        <v>-32.905000000000001</v>
      </c>
      <c r="AF70" s="67">
        <v>-44.433</v>
      </c>
      <c r="AG70" s="67">
        <v>-8.3173522882205759</v>
      </c>
    </row>
    <row r="71" spans="1:34" hidden="1" outlineLevel="2" x14ac:dyDescent="0.2">
      <c r="A71" s="132" t="s">
        <v>348</v>
      </c>
      <c r="B71" s="143"/>
      <c r="C71" s="67" t="s">
        <v>228</v>
      </c>
      <c r="D71" s="67" t="s">
        <v>228</v>
      </c>
      <c r="E71" s="67" t="s">
        <v>228</v>
      </c>
      <c r="F71" s="73" t="str">
        <f>'Cash Flow - FY'!F71</f>
        <v>n.a.</v>
      </c>
      <c r="G71" s="67" t="s">
        <v>228</v>
      </c>
      <c r="H71" s="67" t="s">
        <v>228</v>
      </c>
      <c r="I71" s="67" t="s">
        <v>228</v>
      </c>
      <c r="J71" s="73" t="str">
        <f>'Cash Flow - FY'!G71</f>
        <v>n.a.</v>
      </c>
      <c r="K71" s="67" t="s">
        <v>228</v>
      </c>
      <c r="L71" s="67" t="s">
        <v>228</v>
      </c>
      <c r="M71" s="67" t="s">
        <v>228</v>
      </c>
      <c r="N71" s="73" t="str">
        <f>'Cash Flow - FY'!H71</f>
        <v>n.a.</v>
      </c>
      <c r="O71" s="67" t="s">
        <v>228</v>
      </c>
      <c r="P71" s="67" t="s">
        <v>228</v>
      </c>
      <c r="Q71" s="67" t="s">
        <v>228</v>
      </c>
      <c r="R71" s="73">
        <f>'Cash Flow - FY'!I71</f>
        <v>-47.445999999999998</v>
      </c>
      <c r="S71" s="67">
        <v>-37.473999999999997</v>
      </c>
      <c r="T71" s="67">
        <v>19.678000000000001</v>
      </c>
      <c r="U71" s="67">
        <v>82.546999999999997</v>
      </c>
      <c r="V71" s="73">
        <f>'Cash Flow - FY'!J71</f>
        <v>60.555</v>
      </c>
      <c r="W71" s="67">
        <v>-18.023</v>
      </c>
      <c r="X71" s="67">
        <v>2.4329999999999998</v>
      </c>
      <c r="Y71" s="67">
        <v>-37.619</v>
      </c>
      <c r="Z71" s="73">
        <f>'Cash Flow - FY'!K71</f>
        <v>-59.095999999999997</v>
      </c>
      <c r="AA71" s="67">
        <v>-7.4160000000000004</v>
      </c>
      <c r="AB71" s="67">
        <v>-58.734000000000002</v>
      </c>
      <c r="AC71" s="67">
        <v>-29.58</v>
      </c>
      <c r="AD71" s="73">
        <f>'Cash Flow - FY'!L71</f>
        <v>27.899837234405059</v>
      </c>
      <c r="AE71" s="67">
        <v>57.850999999999999</v>
      </c>
      <c r="AF71" s="67">
        <v>-42.523000000000003</v>
      </c>
      <c r="AG71" s="67">
        <v>-39.129403000001545</v>
      </c>
    </row>
    <row r="72" spans="1:34" hidden="1" outlineLevel="1" x14ac:dyDescent="0.2">
      <c r="A72" s="134" t="s">
        <v>319</v>
      </c>
      <c r="B72" s="143"/>
      <c r="C72" s="67">
        <v>-12.811</v>
      </c>
      <c r="D72" s="67">
        <v>-30.684999999999999</v>
      </c>
      <c r="E72" s="67">
        <v>-71.820999999999998</v>
      </c>
      <c r="F72" s="73">
        <f>'Cash Flow - FY'!F72</f>
        <v>-155.50200000000001</v>
      </c>
      <c r="G72" s="67">
        <v>-37.962000000000003</v>
      </c>
      <c r="H72" s="67">
        <v>-31.268000000000001</v>
      </c>
      <c r="I72" s="67">
        <v>-97.65</v>
      </c>
      <c r="J72" s="73">
        <f>'Cash Flow - FY'!G72</f>
        <v>-102.01</v>
      </c>
      <c r="K72" s="67">
        <v>-13.99</v>
      </c>
      <c r="L72" s="67">
        <v>-7.1589999999999998</v>
      </c>
      <c r="M72" s="67">
        <v>-92.963999999999999</v>
      </c>
      <c r="N72" s="73">
        <f>'Cash Flow - FY'!H72</f>
        <v>-57.226999999999997</v>
      </c>
      <c r="O72" s="67">
        <v>-10.741</v>
      </c>
      <c r="P72" s="67">
        <v>-32.600999999999999</v>
      </c>
      <c r="Q72" s="67">
        <v>-44.749000000000002</v>
      </c>
      <c r="R72" s="79">
        <f>IFERROR(R73+R74,"n.a.")</f>
        <v>-66.254999999999995</v>
      </c>
      <c r="S72" s="79">
        <f>IFERROR(S73+S74,"n.a.")</f>
        <v>-13.018999999999998</v>
      </c>
      <c r="T72" s="79">
        <f t="shared" ref="T72:Y72" si="28">IFERROR(T73+T74,"n.a.")</f>
        <v>-12.827</v>
      </c>
      <c r="U72" s="79">
        <f t="shared" si="28"/>
        <v>-42.007999999999996</v>
      </c>
      <c r="V72" s="79">
        <f t="shared" si="28"/>
        <v>-95.225999999999999</v>
      </c>
      <c r="W72" s="79">
        <f t="shared" si="28"/>
        <v>-32.582999999999998</v>
      </c>
      <c r="X72" s="79">
        <f t="shared" si="28"/>
        <v>-45.296999999999997</v>
      </c>
      <c r="Y72" s="79">
        <f t="shared" si="28"/>
        <v>-70.307000000000002</v>
      </c>
      <c r="Z72" s="79">
        <f>IFERROR(Z73+Z74,"n.a.")</f>
        <v>-88.814999999999998</v>
      </c>
      <c r="AA72" s="79">
        <f>IFERROR(AA73+AA74,"n.a.")</f>
        <v>-18.116</v>
      </c>
      <c r="AB72" s="79">
        <f>IFERROR(AB73+AB74,"n.a.")</f>
        <v>19.259999999999998</v>
      </c>
      <c r="AC72" s="79">
        <f>IFERROR(AC73+AC74-0.1,"n.a.")</f>
        <v>-32.408999999999999</v>
      </c>
      <c r="AD72" s="79">
        <f>IFERROR(AD73+AD74-0.1,"n.a.")</f>
        <v>-107.74784405515369</v>
      </c>
      <c r="AE72" s="79">
        <f>IFERROR(AE73+AE74,"n.a.")</f>
        <v>-16.399000000000001</v>
      </c>
      <c r="AF72" s="79">
        <f>IFERROR(AF73+AF74,"n.a.")</f>
        <v>-25.500999999999998</v>
      </c>
      <c r="AG72" s="79">
        <f>IFERROR(AG73+AG74,"n.a.")</f>
        <v>-32.284605621549929</v>
      </c>
    </row>
    <row r="73" spans="1:34" hidden="1" outlineLevel="2" x14ac:dyDescent="0.2">
      <c r="A73" s="132" t="s">
        <v>349</v>
      </c>
      <c r="B73" s="143"/>
      <c r="C73" s="67" t="s">
        <v>228</v>
      </c>
      <c r="D73" s="67" t="s">
        <v>228</v>
      </c>
      <c r="E73" s="67" t="s">
        <v>228</v>
      </c>
      <c r="F73" s="73" t="str">
        <f>'Cash Flow - FY'!F73</f>
        <v>n.a.</v>
      </c>
      <c r="G73" s="67" t="s">
        <v>228</v>
      </c>
      <c r="H73" s="67" t="s">
        <v>228</v>
      </c>
      <c r="I73" s="67" t="s">
        <v>228</v>
      </c>
      <c r="J73" s="73" t="str">
        <f>'Cash Flow - FY'!G73</f>
        <v>n.a.</v>
      </c>
      <c r="K73" s="67" t="s">
        <v>228</v>
      </c>
      <c r="L73" s="67" t="s">
        <v>228</v>
      </c>
      <c r="M73" s="67" t="s">
        <v>228</v>
      </c>
      <c r="N73" s="73" t="str">
        <f>'Cash Flow - FY'!H73</f>
        <v>n.a.</v>
      </c>
      <c r="O73" s="67" t="s">
        <v>228</v>
      </c>
      <c r="P73" s="67" t="s">
        <v>228</v>
      </c>
      <c r="Q73" s="67" t="s">
        <v>228</v>
      </c>
      <c r="R73" s="73">
        <f>'Cash Flow - FY'!I73</f>
        <v>-43.029000000000003</v>
      </c>
      <c r="S73" s="67">
        <v>-8.2059999999999995</v>
      </c>
      <c r="T73" s="67">
        <v>-6.82</v>
      </c>
      <c r="U73" s="67">
        <v>-29.414999999999999</v>
      </c>
      <c r="V73" s="73">
        <f>'Cash Flow - FY'!J73</f>
        <v>-37.173000000000002</v>
      </c>
      <c r="W73" s="67">
        <v>-26.062000000000001</v>
      </c>
      <c r="X73" s="67">
        <v>-33.619999999999997</v>
      </c>
      <c r="Y73" s="67">
        <v>-39.825000000000003</v>
      </c>
      <c r="Z73" s="73">
        <f>'Cash Flow - FY'!K73</f>
        <v>-48.750999999999998</v>
      </c>
      <c r="AA73" s="67">
        <v>-10.858000000000001</v>
      </c>
      <c r="AB73" s="67">
        <v>31.852</v>
      </c>
      <c r="AC73" s="67">
        <v>-18.254999999999999</v>
      </c>
      <c r="AD73" s="73">
        <f>'Cash Flow - FY'!L73</f>
        <v>-89.471391055153703</v>
      </c>
      <c r="AE73" s="67">
        <v>-6.0149999999999997</v>
      </c>
      <c r="AF73" s="67">
        <v>-11.657</v>
      </c>
      <c r="AG73" s="67">
        <v>-14.910644621549935</v>
      </c>
    </row>
    <row r="74" spans="1:34" hidden="1" outlineLevel="2" x14ac:dyDescent="0.2">
      <c r="A74" s="132" t="s">
        <v>350</v>
      </c>
      <c r="B74" s="143"/>
      <c r="C74" s="67" t="s">
        <v>228</v>
      </c>
      <c r="D74" s="67" t="s">
        <v>228</v>
      </c>
      <c r="E74" s="67" t="s">
        <v>228</v>
      </c>
      <c r="F74" s="73" t="str">
        <f>'Cash Flow - FY'!F74</f>
        <v>n.a.</v>
      </c>
      <c r="G74" s="67" t="s">
        <v>228</v>
      </c>
      <c r="H74" s="67" t="s">
        <v>228</v>
      </c>
      <c r="I74" s="67" t="s">
        <v>228</v>
      </c>
      <c r="J74" s="73" t="str">
        <f>'Cash Flow - FY'!G74</f>
        <v>n.a.</v>
      </c>
      <c r="K74" s="67" t="s">
        <v>228</v>
      </c>
      <c r="L74" s="67" t="s">
        <v>228</v>
      </c>
      <c r="M74" s="67" t="s">
        <v>228</v>
      </c>
      <c r="N74" s="73" t="str">
        <f>'Cash Flow - FY'!H74</f>
        <v>n.a.</v>
      </c>
      <c r="O74" s="67" t="s">
        <v>228</v>
      </c>
      <c r="P74" s="67" t="s">
        <v>228</v>
      </c>
      <c r="Q74" s="67" t="s">
        <v>228</v>
      </c>
      <c r="R74" s="73">
        <f>'Cash Flow - FY'!I74</f>
        <v>-23.225999999999999</v>
      </c>
      <c r="S74" s="67">
        <v>-4.8129999999999997</v>
      </c>
      <c r="T74" s="67">
        <v>-6.0069999999999997</v>
      </c>
      <c r="U74" s="67">
        <v>-12.593</v>
      </c>
      <c r="V74" s="73">
        <f>'Cash Flow - FY'!J74</f>
        <v>-58.052999999999997</v>
      </c>
      <c r="W74" s="67">
        <v>-6.5209999999999999</v>
      </c>
      <c r="X74" s="67">
        <v>-11.677</v>
      </c>
      <c r="Y74" s="67">
        <v>-30.481999999999999</v>
      </c>
      <c r="Z74" s="73">
        <f>'Cash Flow - FY'!K74</f>
        <v>-40.064</v>
      </c>
      <c r="AA74" s="67">
        <v>-7.258</v>
      </c>
      <c r="AB74" s="67">
        <v>-12.592000000000001</v>
      </c>
      <c r="AC74" s="67">
        <v>-14.054</v>
      </c>
      <c r="AD74" s="73">
        <f>'Cash Flow - FY'!L74</f>
        <v>-18.176452999999992</v>
      </c>
      <c r="AE74" s="67">
        <v>-10.384</v>
      </c>
      <c r="AF74" s="67">
        <v>-13.843999999999999</v>
      </c>
      <c r="AG74" s="67">
        <v>-17.373960999999998</v>
      </c>
    </row>
    <row r="75" spans="1:34" s="22" customFormat="1" collapsed="1" x14ac:dyDescent="0.2">
      <c r="A75" s="126" t="s">
        <v>112</v>
      </c>
      <c r="B75" s="154"/>
      <c r="C75" s="76">
        <f t="shared" ref="C75:R75" si="29">IFERROR(C63+C64+C65+C66+C67+C68+C69+C72,"n.a.")</f>
        <v>-447.5019999999999</v>
      </c>
      <c r="D75" s="76">
        <f t="shared" si="29"/>
        <v>-189.46099999999996</v>
      </c>
      <c r="E75" s="76">
        <f t="shared" si="29"/>
        <v>42.503999999999905</v>
      </c>
      <c r="F75" s="76">
        <f t="shared" si="29"/>
        <v>1086.1760000000002</v>
      </c>
      <c r="G75" s="76">
        <f t="shared" si="29"/>
        <v>-549.92400000000009</v>
      </c>
      <c r="H75" s="76">
        <f t="shared" si="29"/>
        <v>-264.13400000000001</v>
      </c>
      <c r="I75" s="76">
        <f t="shared" si="29"/>
        <v>-111.59300000000002</v>
      </c>
      <c r="J75" s="76">
        <f t="shared" si="29"/>
        <v>1137.65091357235</v>
      </c>
      <c r="K75" s="76">
        <f t="shared" si="29"/>
        <v>-686.34899999999993</v>
      </c>
      <c r="L75" s="76">
        <f t="shared" si="29"/>
        <v>-483.49799999999999</v>
      </c>
      <c r="M75" s="76">
        <f t="shared" si="29"/>
        <v>-457.99400000000009</v>
      </c>
      <c r="N75" s="76">
        <f t="shared" si="29"/>
        <v>658.36099999999976</v>
      </c>
      <c r="O75" s="76">
        <f t="shared" si="29"/>
        <v>-535.65</v>
      </c>
      <c r="P75" s="76">
        <f t="shared" si="29"/>
        <v>-263.36200000000008</v>
      </c>
      <c r="Q75" s="76">
        <f t="shared" si="29"/>
        <v>-91.61900000000017</v>
      </c>
      <c r="R75" s="76">
        <f t="shared" si="29"/>
        <v>1022.7020000000003</v>
      </c>
      <c r="S75" s="76">
        <f>IFERROR(S63+S64+S65+S66+S67+S68+S69+S72,"n.a.")</f>
        <v>-660.18100000000004</v>
      </c>
      <c r="T75" s="76">
        <f>IFERROR(T63+T64+T65+T66+T67+T68+T69+T72,"n.a.")</f>
        <v>-545.80599999999993</v>
      </c>
      <c r="U75" s="76">
        <f>IFERROR(U63+U64+U65+U66+U67+U68+U69+U72,"n.a.")</f>
        <v>-466.76800000000003</v>
      </c>
      <c r="V75" s="76">
        <f>IFERROR(V63+V64+V65+V66+V67+V68+V69+V72,"n.a.")</f>
        <v>618.35199999999986</v>
      </c>
      <c r="W75" s="76">
        <f>IFERROR(W63+W64+W65+W66+W67+W68+W69+W72,"n.a.")</f>
        <v>-524.71299999999997</v>
      </c>
      <c r="X75" s="76">
        <f>IFERROR(X63+X64+X65+X66+X67+X68+X69+X72-0.002,"n.a.")</f>
        <v>-232.70600000000016</v>
      </c>
      <c r="Y75" s="76">
        <f>IFERROR(Y63+Y64+Y65+Y66+Y67+Y68+Y69+Y72,"n.a.")</f>
        <v>-17.779999999999902</v>
      </c>
      <c r="Z75" s="76">
        <f>IFERROR(Z63+Z64+Z65+Z66+Z67+Z68+Z69+Z72,"n.a.")</f>
        <v>919.07399999999984</v>
      </c>
      <c r="AA75" s="76">
        <f>IFERROR(AA63+AA64+AA65+AA66+AA67+AA68+AA69+AA72,"n.a.")</f>
        <v>-518.40600000000006</v>
      </c>
      <c r="AB75" s="76">
        <f>IFERROR(AB63+AB64+AB65+AB66+AB67+AB68+AB69+AB72,"n.a.")</f>
        <v>-135.77000000000012</v>
      </c>
      <c r="AC75" s="76">
        <f>IFERROR(AC63+AC64+AC65+AC66+AC67+AC68+AC69+AC72+0.1,"n.a.")</f>
        <v>111.4080000000001</v>
      </c>
      <c r="AD75" s="76">
        <f>IFERROR(AD63+AD64+AD65+AD66+AD67+AD68+AD69+AD72,"n.a.")</f>
        <v>1131.5398834893294</v>
      </c>
      <c r="AE75" s="76">
        <f>IFERROR(AE63+AE64+AE65+AE66+AE67+AE68+AE69+AE72,"n.a.")</f>
        <v>-481.05399999999986</v>
      </c>
      <c r="AF75" s="76">
        <f>IFERROR(AF63+AF64+AF65+AF66+AF67+AF68+AF69+AF72,"n.a.")</f>
        <v>-120.31250000000006</v>
      </c>
      <c r="AG75" s="76">
        <f>IFERROR(AG63+AG64+AG65+AG66+AG67+AG68+AG69+AG72,"n.a.")</f>
        <v>193.08111497105949</v>
      </c>
      <c r="AH75" s="254"/>
    </row>
    <row r="76" spans="1:34" x14ac:dyDescent="0.2">
      <c r="A76" s="139"/>
      <c r="B76" s="55"/>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row>
    <row r="77" spans="1:34" hidden="1" outlineLevel="1" x14ac:dyDescent="0.2">
      <c r="A77" s="141" t="s">
        <v>320</v>
      </c>
      <c r="B77" s="142"/>
      <c r="C77" s="86">
        <v>-70.305000000000007</v>
      </c>
      <c r="D77" s="86">
        <v>-145.80799999999999</v>
      </c>
      <c r="E77" s="86">
        <v>-234.5</v>
      </c>
      <c r="F77" s="115">
        <f>'Cash Flow - FY'!F77</f>
        <v>-363.46600000000001</v>
      </c>
      <c r="G77" s="86">
        <v>-97.445999999999998</v>
      </c>
      <c r="H77" s="86">
        <v>-213.40199999999999</v>
      </c>
      <c r="I77" s="86">
        <v>-324.07077600000002</v>
      </c>
      <c r="J77" s="115">
        <f>'Cash Flow - FY'!G77</f>
        <v>-470.38299999999998</v>
      </c>
      <c r="K77" s="86">
        <v>-84.665999999999997</v>
      </c>
      <c r="L77" s="86">
        <v>-176.74700000000001</v>
      </c>
      <c r="M77" s="86">
        <v>-290.63200000000001</v>
      </c>
      <c r="N77" s="115">
        <f>'Cash Flow - FY'!H77</f>
        <v>-451.80099999999999</v>
      </c>
      <c r="O77" s="86">
        <v>-77.462999999999994</v>
      </c>
      <c r="P77" s="86">
        <v>-164.34</v>
      </c>
      <c r="Q77" s="86">
        <v>-235.20099999999999</v>
      </c>
      <c r="R77" s="115">
        <f>'Cash Flow - FY'!I77</f>
        <v>-369.69900000000001</v>
      </c>
      <c r="S77" s="86">
        <v>-53.591999999999999</v>
      </c>
      <c r="T77" s="86">
        <v>-74.198999999999998</v>
      </c>
      <c r="U77" s="86">
        <v>-95.885000000000005</v>
      </c>
      <c r="V77" s="115">
        <f>'Cash Flow - FY'!J77</f>
        <v>-124.508</v>
      </c>
      <c r="W77" s="228">
        <v>-82.852999999999994</v>
      </c>
      <c r="X77" s="228">
        <v>-136.714</v>
      </c>
      <c r="Y77" s="228">
        <v>-192.047</v>
      </c>
      <c r="Z77" s="229">
        <f>'Cash Flow - FY'!K77</f>
        <v>-314.97500000000002</v>
      </c>
      <c r="AA77" s="228">
        <v>-42.750999999999998</v>
      </c>
      <c r="AB77" s="228">
        <v>-104.446</v>
      </c>
      <c r="AC77" s="228">
        <v>-168.87</v>
      </c>
      <c r="AD77" s="229">
        <f>'Cash Flow - FY'!L77</f>
        <v>-365.81299999999999</v>
      </c>
      <c r="AE77" s="228">
        <v>-50.063000000000002</v>
      </c>
      <c r="AF77" s="228">
        <v>-116.39400000000001</v>
      </c>
      <c r="AG77" s="228">
        <f>-266.268209-AG78</f>
        <v>-189.77520900000002</v>
      </c>
    </row>
    <row r="78" spans="1:34" hidden="1" outlineLevel="1" x14ac:dyDescent="0.2">
      <c r="A78" s="141" t="s">
        <v>321</v>
      </c>
      <c r="B78" s="142"/>
      <c r="C78" s="86">
        <v>0</v>
      </c>
      <c r="D78" s="86">
        <v>0</v>
      </c>
      <c r="E78" s="86">
        <v>0</v>
      </c>
      <c r="F78" s="115">
        <f>'Cash Flow - FY'!F78</f>
        <v>0</v>
      </c>
      <c r="G78" s="86">
        <v>0</v>
      </c>
      <c r="H78" s="86">
        <v>0</v>
      </c>
      <c r="I78" s="86">
        <v>0</v>
      </c>
      <c r="J78" s="115">
        <f>'Cash Flow - FY'!G78</f>
        <v>0</v>
      </c>
      <c r="K78" s="86">
        <v>0</v>
      </c>
      <c r="L78" s="86">
        <v>-51.430999999999997</v>
      </c>
      <c r="M78" s="86">
        <v>-50.985999999999997</v>
      </c>
      <c r="N78" s="115">
        <f>'Cash Flow - FY'!H78</f>
        <v>-6.2910000000000004</v>
      </c>
      <c r="O78" s="86">
        <v>-20.52</v>
      </c>
      <c r="P78" s="86">
        <v>-33.825000000000003</v>
      </c>
      <c r="Q78" s="86">
        <v>-52.078000000000003</v>
      </c>
      <c r="R78" s="115">
        <f>'Cash Flow - FY'!I78</f>
        <v>3.7639999999999998</v>
      </c>
      <c r="S78" s="86">
        <v>-46.067999999999998</v>
      </c>
      <c r="T78" s="86">
        <v>-57.642000000000003</v>
      </c>
      <c r="U78" s="86">
        <v>-70.087999999999994</v>
      </c>
      <c r="V78" s="115">
        <f>'Cash Flow - FY'!J78</f>
        <v>-53.371000000000002</v>
      </c>
      <c r="W78" s="228">
        <v>3.444</v>
      </c>
      <c r="X78" s="228">
        <v>24.963999999999999</v>
      </c>
      <c r="Y78" s="228">
        <v>-12.202</v>
      </c>
      <c r="Z78" s="229">
        <f>'Cash Flow - FY'!K78</f>
        <v>58.883000000000003</v>
      </c>
      <c r="AA78" s="228">
        <v>-42.722999999999999</v>
      </c>
      <c r="AB78" s="228">
        <v>-39.091999999999999</v>
      </c>
      <c r="AC78" s="228">
        <f>-201.497-AC77</f>
        <v>-32.62700000000001</v>
      </c>
      <c r="AD78" s="229">
        <f>'Cash Flow - FY'!L78</f>
        <v>62.322000000000003</v>
      </c>
      <c r="AE78" s="250">
        <v>-70.921000000000006</v>
      </c>
      <c r="AF78" s="253">
        <v>-76.849999999999994</v>
      </c>
      <c r="AG78" s="253">
        <v>-76.492999999999995</v>
      </c>
    </row>
    <row r="79" spans="1:34" hidden="1" outlineLevel="1" x14ac:dyDescent="0.2">
      <c r="A79" s="134" t="s">
        <v>351</v>
      </c>
      <c r="B79" s="143"/>
      <c r="C79" s="67">
        <v>1.083</v>
      </c>
      <c r="D79" s="67">
        <v>2.016</v>
      </c>
      <c r="E79" s="67">
        <v>2.016</v>
      </c>
      <c r="F79" s="73">
        <f>'Cash Flow - FY'!F79</f>
        <v>91.626000000000005</v>
      </c>
      <c r="G79" s="67">
        <v>2.4790000000000001</v>
      </c>
      <c r="H79" s="67">
        <v>3.9319999999999999</v>
      </c>
      <c r="I79" s="67">
        <v>5.0986470000000006</v>
      </c>
      <c r="J79" s="73">
        <f>'Cash Flow - FY'!G79</f>
        <v>73.504999999999995</v>
      </c>
      <c r="K79" s="67">
        <v>4.18</v>
      </c>
      <c r="L79" s="67">
        <v>2.9020000000000001</v>
      </c>
      <c r="M79" s="67">
        <v>10.195</v>
      </c>
      <c r="N79" s="73">
        <f>'Cash Flow - FY'!H79</f>
        <v>16.222999999999999</v>
      </c>
      <c r="O79" s="67">
        <v>1.9390000000000001</v>
      </c>
      <c r="P79" s="86">
        <v>2.7770000000000001</v>
      </c>
      <c r="Q79" s="86">
        <v>3.9049999999999998</v>
      </c>
      <c r="R79" s="79">
        <f>IFERROR(R80+R81,"n.a.")</f>
        <v>7.6609999999999996</v>
      </c>
      <c r="S79" s="79">
        <f>IFERROR(S80+S81,"n.a.")</f>
        <v>0.23900000000000002</v>
      </c>
      <c r="T79" s="79">
        <f t="shared" ref="T79:Y79" si="30">IFERROR(T80+T81,"n.a.")</f>
        <v>1.542</v>
      </c>
      <c r="U79" s="79">
        <f t="shared" si="30"/>
        <v>3.1160000000000001</v>
      </c>
      <c r="V79" s="79">
        <f t="shared" si="30"/>
        <v>5.6840000000000002</v>
      </c>
      <c r="W79" s="79">
        <f t="shared" si="30"/>
        <v>5.319</v>
      </c>
      <c r="X79" s="79">
        <f t="shared" si="30"/>
        <v>6.048</v>
      </c>
      <c r="Y79" s="79">
        <f t="shared" si="30"/>
        <v>7.6239999999999997</v>
      </c>
      <c r="Z79" s="79">
        <f t="shared" ref="Z79:AG79" si="31">IFERROR(Z80+Z81,"n.a.")</f>
        <v>8.777000000000001</v>
      </c>
      <c r="AA79" s="79">
        <f t="shared" si="31"/>
        <v>1.8220000000000001</v>
      </c>
      <c r="AB79" s="79">
        <f t="shared" si="31"/>
        <v>2.7050000000000001</v>
      </c>
      <c r="AC79" s="79">
        <f t="shared" si="31"/>
        <v>4.2169999999999996</v>
      </c>
      <c r="AD79" s="79">
        <f t="shared" si="31"/>
        <v>4.3747880000000006</v>
      </c>
      <c r="AE79" s="79">
        <f t="shared" si="31"/>
        <v>2.7210000000000001</v>
      </c>
      <c r="AF79" s="79">
        <f t="shared" si="31"/>
        <v>1.48</v>
      </c>
      <c r="AG79" s="79">
        <f t="shared" si="31"/>
        <v>1.6545029999999983</v>
      </c>
    </row>
    <row r="80" spans="1:34" hidden="1" outlineLevel="2" x14ac:dyDescent="0.2">
      <c r="A80" s="132" t="s">
        <v>352</v>
      </c>
      <c r="B80" s="143"/>
      <c r="C80" s="67" t="s">
        <v>228</v>
      </c>
      <c r="D80" s="67" t="s">
        <v>228</v>
      </c>
      <c r="E80" s="67" t="s">
        <v>228</v>
      </c>
      <c r="F80" s="73" t="str">
        <f>'Cash Flow - FY'!C80</f>
        <v>n.a.</v>
      </c>
      <c r="G80" s="67" t="s">
        <v>228</v>
      </c>
      <c r="H80" s="67" t="s">
        <v>228</v>
      </c>
      <c r="I80" s="67" t="s">
        <v>228</v>
      </c>
      <c r="J80" s="73" t="str">
        <f>'Cash Flow - FY'!G80</f>
        <v>n.a.</v>
      </c>
      <c r="K80" s="67" t="s">
        <v>228</v>
      </c>
      <c r="L80" s="67" t="s">
        <v>228</v>
      </c>
      <c r="M80" s="67" t="s">
        <v>228</v>
      </c>
      <c r="N80" s="73" t="str">
        <f>'Cash Flow - FY'!H80</f>
        <v>n.a.</v>
      </c>
      <c r="O80" s="67" t="s">
        <v>228</v>
      </c>
      <c r="P80" s="67" t="s">
        <v>228</v>
      </c>
      <c r="Q80" s="67" t="s">
        <v>228</v>
      </c>
      <c r="R80" s="73">
        <f>'Cash Flow - FY'!I80</f>
        <v>7.6459999999999999</v>
      </c>
      <c r="S80" s="67">
        <v>0.23100000000000001</v>
      </c>
      <c r="T80" s="67">
        <v>1.534</v>
      </c>
      <c r="U80" s="67">
        <v>3.1080000000000001</v>
      </c>
      <c r="V80" s="73">
        <f>'Cash Flow - FY'!J80</f>
        <v>5.4050000000000002</v>
      </c>
      <c r="W80" s="67">
        <v>5.3140000000000001</v>
      </c>
      <c r="X80" s="67">
        <v>5.81</v>
      </c>
      <c r="Y80" s="228">
        <v>7.3819999999999997</v>
      </c>
      <c r="Z80" s="73">
        <f>'Cash Flow - FY'!K80</f>
        <v>8.5340000000000007</v>
      </c>
      <c r="AA80" s="67">
        <v>1.8220000000000001</v>
      </c>
      <c r="AB80" s="67">
        <v>2.7050000000000001</v>
      </c>
      <c r="AC80" s="228">
        <v>4.2169999999999996</v>
      </c>
      <c r="AD80" s="73">
        <f>'Cash Flow - FY'!L80</f>
        <v>4.0981680000000003</v>
      </c>
      <c r="AE80" s="67">
        <v>2.7210000000000001</v>
      </c>
      <c r="AF80" s="67">
        <v>1.48</v>
      </c>
      <c r="AG80" s="67">
        <v>1.6545029999999983</v>
      </c>
    </row>
    <row r="81" spans="1:33" hidden="1" outlineLevel="2" x14ac:dyDescent="0.2">
      <c r="A81" s="132" t="s">
        <v>353</v>
      </c>
      <c r="B81" s="143"/>
      <c r="C81" s="67" t="s">
        <v>228</v>
      </c>
      <c r="D81" s="67" t="s">
        <v>228</v>
      </c>
      <c r="E81" s="67" t="s">
        <v>228</v>
      </c>
      <c r="F81" s="73" t="str">
        <f>'Cash Flow - FY'!C81</f>
        <v>n.a.</v>
      </c>
      <c r="G81" s="67" t="s">
        <v>228</v>
      </c>
      <c r="H81" s="67" t="s">
        <v>228</v>
      </c>
      <c r="I81" s="67" t="s">
        <v>228</v>
      </c>
      <c r="J81" s="73" t="str">
        <f>'Cash Flow - FY'!G81</f>
        <v>n.a.</v>
      </c>
      <c r="K81" s="67" t="s">
        <v>228</v>
      </c>
      <c r="L81" s="67" t="s">
        <v>228</v>
      </c>
      <c r="M81" s="67" t="s">
        <v>228</v>
      </c>
      <c r="N81" s="73" t="str">
        <f>'Cash Flow - FY'!H81</f>
        <v>n.a.</v>
      </c>
      <c r="O81" s="67" t="s">
        <v>228</v>
      </c>
      <c r="P81" s="67" t="s">
        <v>228</v>
      </c>
      <c r="Q81" s="67" t="s">
        <v>228</v>
      </c>
      <c r="R81" s="73">
        <f>'Cash Flow - FY'!I81</f>
        <v>1.4999999999999999E-2</v>
      </c>
      <c r="S81" s="67">
        <v>8.0000000000000002E-3</v>
      </c>
      <c r="T81" s="67">
        <v>8.0000000000000002E-3</v>
      </c>
      <c r="U81" s="67">
        <v>8.0000000000000002E-3</v>
      </c>
      <c r="V81" s="73">
        <f>'Cash Flow - FY'!J81</f>
        <v>0.27900000000000003</v>
      </c>
      <c r="W81" s="67">
        <v>5.0000000000000001E-3</v>
      </c>
      <c r="X81" s="67">
        <v>0.23799999999999999</v>
      </c>
      <c r="Y81" s="67">
        <v>0.24199999999999999</v>
      </c>
      <c r="Z81" s="73">
        <f>'Cash Flow - FY'!K81</f>
        <v>0.24299999999999999</v>
      </c>
      <c r="AA81" s="67">
        <v>0</v>
      </c>
      <c r="AB81" s="67">
        <v>0</v>
      </c>
      <c r="AC81" s="67">
        <v>0</v>
      </c>
      <c r="AD81" s="73">
        <f>'Cash Flow - FY'!L81</f>
        <v>0.27661999999999998</v>
      </c>
      <c r="AE81" s="67">
        <v>0</v>
      </c>
      <c r="AF81" s="67">
        <v>0</v>
      </c>
      <c r="AG81" s="67">
        <v>0</v>
      </c>
    </row>
    <row r="82" spans="1:33" hidden="1" outlineLevel="1" x14ac:dyDescent="0.2">
      <c r="A82" s="134" t="s">
        <v>101</v>
      </c>
      <c r="B82" s="143"/>
      <c r="C82" s="67">
        <v>-0.67800000000000005</v>
      </c>
      <c r="D82" s="67">
        <v>-2.0070000000000001</v>
      </c>
      <c r="E82" s="67">
        <v>-3.9</v>
      </c>
      <c r="F82" s="73">
        <f>'Cash Flow - FY'!F82</f>
        <v>-8.7170000000000005</v>
      </c>
      <c r="G82" s="67">
        <v>-0.94199999999999995</v>
      </c>
      <c r="H82" s="67">
        <v>-2.2869999999999999</v>
      </c>
      <c r="I82" s="67">
        <v>-3.5357220000000003</v>
      </c>
      <c r="J82" s="73">
        <f>'Cash Flow - FY'!G82</f>
        <v>-18.969000000000001</v>
      </c>
      <c r="K82" s="67">
        <v>-0.58399999999999996</v>
      </c>
      <c r="L82" s="67">
        <v>-2.4969999999999999</v>
      </c>
      <c r="M82" s="67">
        <v>-6.0759999999999996</v>
      </c>
      <c r="N82" s="73">
        <f>'Cash Flow - FY'!H82</f>
        <v>-11.64</v>
      </c>
      <c r="O82" s="67">
        <v>-0.52100000000000002</v>
      </c>
      <c r="P82" s="86">
        <v>-3.379</v>
      </c>
      <c r="Q82" s="86">
        <v>-7.1360000000000001</v>
      </c>
      <c r="R82" s="73">
        <f>'Cash Flow - FY'!I82</f>
        <v>-20.812000000000001</v>
      </c>
      <c r="S82" s="67">
        <v>-2.976</v>
      </c>
      <c r="T82" s="86">
        <v>-7.21</v>
      </c>
      <c r="U82" s="86">
        <v>-10.212</v>
      </c>
      <c r="V82" s="73">
        <f>'Cash Flow - FY'!J82</f>
        <v>-15.526999999999999</v>
      </c>
      <c r="W82" s="67">
        <v>-6.9580000000000002</v>
      </c>
      <c r="X82" s="228">
        <v>-16.135999999999999</v>
      </c>
      <c r="Y82" s="228">
        <v>-21.207000000000001</v>
      </c>
      <c r="Z82" s="73">
        <f>'Cash Flow - FY'!K82</f>
        <v>-30.579000000000001</v>
      </c>
      <c r="AA82" s="67">
        <v>-5.8959999999999999</v>
      </c>
      <c r="AB82" s="228">
        <v>-11.276999999999999</v>
      </c>
      <c r="AC82" s="228">
        <v>-19.841000000000001</v>
      </c>
      <c r="AD82" s="73">
        <f>'Cash Flow - FY'!L82</f>
        <v>-31.912368310920559</v>
      </c>
      <c r="AE82" s="67">
        <v>-3.0870000000000002</v>
      </c>
      <c r="AF82" s="228">
        <v>-7.0910000000000002</v>
      </c>
      <c r="AG82" s="228">
        <v>-11.436844789704697</v>
      </c>
    </row>
    <row r="83" spans="1:33" hidden="1" outlineLevel="2" x14ac:dyDescent="0.2">
      <c r="A83" s="134" t="s">
        <v>307</v>
      </c>
      <c r="B83" s="143"/>
      <c r="C83" s="67">
        <v>0</v>
      </c>
      <c r="D83" s="67">
        <v>0</v>
      </c>
      <c r="E83" s="67">
        <v>0</v>
      </c>
      <c r="F83" s="73">
        <f>'Cash Flow - FY'!F83</f>
        <v>100.35299999999999</v>
      </c>
      <c r="G83" s="67">
        <v>0</v>
      </c>
      <c r="H83" s="67">
        <v>0</v>
      </c>
      <c r="I83" s="67">
        <v>0</v>
      </c>
      <c r="J83" s="73">
        <f>'Cash Flow - FY'!G83</f>
        <v>8.5559999999999992</v>
      </c>
      <c r="K83" s="67">
        <v>0</v>
      </c>
      <c r="L83" s="67">
        <v>0</v>
      </c>
      <c r="M83" s="67">
        <v>0</v>
      </c>
      <c r="N83" s="73">
        <f>'Cash Flow - FY'!H83</f>
        <v>2.6739999999999999</v>
      </c>
      <c r="O83" s="67">
        <v>0</v>
      </c>
      <c r="P83" s="86">
        <v>0</v>
      </c>
      <c r="Q83" s="86">
        <v>0</v>
      </c>
      <c r="R83" s="73">
        <f>'Cash Flow - FY'!I83</f>
        <v>0</v>
      </c>
      <c r="S83" s="67">
        <v>0</v>
      </c>
      <c r="T83" s="86">
        <v>0</v>
      </c>
      <c r="U83" s="86">
        <v>0</v>
      </c>
      <c r="V83" s="73">
        <f>'Cash Flow - FY'!J83</f>
        <v>0</v>
      </c>
      <c r="W83" s="67">
        <v>0</v>
      </c>
      <c r="X83" s="228">
        <v>0</v>
      </c>
      <c r="Y83" s="228">
        <v>0</v>
      </c>
      <c r="Z83" s="73">
        <f>'Cash Flow - FY'!K83</f>
        <v>0</v>
      </c>
      <c r="AA83" s="67">
        <v>0</v>
      </c>
      <c r="AB83" s="228">
        <v>0</v>
      </c>
      <c r="AC83" s="228">
        <v>0</v>
      </c>
      <c r="AD83" s="73">
        <f>'Cash Flow - FY'!L83</f>
        <v>0</v>
      </c>
      <c r="AE83" s="67">
        <v>0</v>
      </c>
      <c r="AF83" s="228">
        <v>0</v>
      </c>
      <c r="AG83" s="228">
        <v>0</v>
      </c>
    </row>
    <row r="84" spans="1:33" hidden="1" outlineLevel="2" x14ac:dyDescent="0.2">
      <c r="A84" s="134" t="s">
        <v>102</v>
      </c>
      <c r="B84" s="143"/>
      <c r="C84" s="67">
        <v>0</v>
      </c>
      <c r="D84" s="67">
        <v>0</v>
      </c>
      <c r="E84" s="67">
        <v>0</v>
      </c>
      <c r="F84" s="73">
        <f>'Cash Flow - FY'!F84</f>
        <v>0</v>
      </c>
      <c r="G84" s="67">
        <v>0</v>
      </c>
      <c r="H84" s="67">
        <v>0</v>
      </c>
      <c r="I84" s="67">
        <v>0</v>
      </c>
      <c r="J84" s="73">
        <f>'Cash Flow - FY'!G84</f>
        <v>0</v>
      </c>
      <c r="K84" s="67">
        <v>0</v>
      </c>
      <c r="L84" s="67">
        <v>0</v>
      </c>
      <c r="M84" s="67">
        <v>0</v>
      </c>
      <c r="N84" s="73">
        <f>'Cash Flow - FY'!H84</f>
        <v>0</v>
      </c>
      <c r="O84" s="67">
        <v>0</v>
      </c>
      <c r="P84" s="86">
        <v>0</v>
      </c>
      <c r="Q84" s="86">
        <v>0</v>
      </c>
      <c r="R84" s="73">
        <f>'Cash Flow - FY'!I84</f>
        <v>0</v>
      </c>
      <c r="S84" s="67">
        <v>0</v>
      </c>
      <c r="T84" s="86">
        <v>0</v>
      </c>
      <c r="U84" s="86">
        <v>0</v>
      </c>
      <c r="V84" s="73">
        <f>'Cash Flow - FY'!J84</f>
        <v>0</v>
      </c>
      <c r="W84" s="67">
        <v>0</v>
      </c>
      <c r="X84" s="228">
        <v>0</v>
      </c>
      <c r="Y84" s="228">
        <v>0</v>
      </c>
      <c r="Z84" s="73">
        <f>'Cash Flow - FY'!K84</f>
        <v>0</v>
      </c>
      <c r="AA84" s="67">
        <v>0</v>
      </c>
      <c r="AB84" s="67">
        <v>0</v>
      </c>
      <c r="AC84" s="228">
        <v>0</v>
      </c>
      <c r="AD84" s="73">
        <f>'Cash Flow - FY'!L84</f>
        <v>0</v>
      </c>
      <c r="AE84" s="67">
        <v>0</v>
      </c>
      <c r="AF84" s="67">
        <v>0</v>
      </c>
      <c r="AG84" s="67">
        <v>0</v>
      </c>
    </row>
    <row r="85" spans="1:33" hidden="1" outlineLevel="1" x14ac:dyDescent="0.2">
      <c r="A85" s="134" t="s">
        <v>369</v>
      </c>
      <c r="B85" s="143"/>
      <c r="C85" s="67">
        <v>0</v>
      </c>
      <c r="D85" s="67">
        <v>0</v>
      </c>
      <c r="E85" s="67">
        <v>0</v>
      </c>
      <c r="F85" s="73">
        <f>'Cash Flow - FY'!F85</f>
        <v>0</v>
      </c>
      <c r="G85" s="67">
        <v>0</v>
      </c>
      <c r="H85" s="67">
        <v>0</v>
      </c>
      <c r="I85" s="67">
        <v>-15.461776984013937</v>
      </c>
      <c r="J85" s="73">
        <f>'Cash Flow - FY'!G85</f>
        <v>-15.638999999999999</v>
      </c>
      <c r="K85" s="67">
        <v>0</v>
      </c>
      <c r="L85" s="67">
        <v>0</v>
      </c>
      <c r="M85" s="67">
        <v>0</v>
      </c>
      <c r="N85" s="73">
        <f>'Cash Flow - FY'!H85</f>
        <v>0</v>
      </c>
      <c r="O85" s="67">
        <v>10.7</v>
      </c>
      <c r="P85" s="86">
        <v>10.7</v>
      </c>
      <c r="Q85" s="86">
        <v>10.7</v>
      </c>
      <c r="R85" s="73">
        <f>'Cash Flow - FY'!I85</f>
        <v>10.7</v>
      </c>
      <c r="S85" s="67">
        <v>6.9000000000000006E-2</v>
      </c>
      <c r="T85" s="86">
        <v>6.9000000000000006E-2</v>
      </c>
      <c r="U85" s="86">
        <v>6.9000000000000006E-2</v>
      </c>
      <c r="V85" s="73">
        <f>'Cash Flow - FY'!J85</f>
        <v>6.9000000000000006E-2</v>
      </c>
      <c r="W85" s="228">
        <v>4.3550000000000004</v>
      </c>
      <c r="X85" s="228">
        <v>4.3550000000000004</v>
      </c>
      <c r="Y85" s="228">
        <v>4.407</v>
      </c>
      <c r="Z85" s="73">
        <f>'Cash Flow - FY'!K85</f>
        <v>4.407</v>
      </c>
      <c r="AA85" s="67">
        <v>0</v>
      </c>
      <c r="AB85" s="228">
        <v>0</v>
      </c>
      <c r="AC85" s="228">
        <v>0</v>
      </c>
      <c r="AD85" s="73">
        <f>'Cash Flow - FY'!L85</f>
        <v>0</v>
      </c>
      <c r="AE85" s="67">
        <v>0</v>
      </c>
      <c r="AF85" s="228">
        <v>0</v>
      </c>
      <c r="AG85" s="228">
        <v>0</v>
      </c>
    </row>
    <row r="86" spans="1:33" hidden="1" outlineLevel="1" x14ac:dyDescent="0.2">
      <c r="A86" s="134" t="s">
        <v>308</v>
      </c>
      <c r="B86" s="143"/>
      <c r="C86" s="67">
        <v>0</v>
      </c>
      <c r="D86" s="67">
        <v>0</v>
      </c>
      <c r="E86" s="67">
        <v>0</v>
      </c>
      <c r="F86" s="73">
        <f>'Cash Flow - FY'!F86</f>
        <v>0</v>
      </c>
      <c r="G86" s="67">
        <v>0</v>
      </c>
      <c r="H86" s="67">
        <v>0</v>
      </c>
      <c r="I86" s="67">
        <v>0</v>
      </c>
      <c r="J86" s="73">
        <f>'Cash Flow - FY'!G86</f>
        <v>0</v>
      </c>
      <c r="K86" s="67">
        <v>-18.492000000000001</v>
      </c>
      <c r="L86" s="67">
        <v>-18.492000000000001</v>
      </c>
      <c r="M86" s="67">
        <v>-18.492000000000001</v>
      </c>
      <c r="N86" s="73">
        <f>'Cash Flow - FY'!H86</f>
        <v>-49.722000000000001</v>
      </c>
      <c r="O86" s="67">
        <v>0</v>
      </c>
      <c r="P86" s="86">
        <v>0</v>
      </c>
      <c r="Q86" s="86">
        <v>0</v>
      </c>
      <c r="R86" s="73">
        <f>'Cash Flow - FY'!I86</f>
        <v>0</v>
      </c>
      <c r="S86" s="67">
        <v>0</v>
      </c>
      <c r="T86" s="86">
        <v>0</v>
      </c>
      <c r="U86" s="86">
        <v>0</v>
      </c>
      <c r="V86" s="73">
        <f>'Cash Flow - FY'!J86</f>
        <v>0</v>
      </c>
      <c r="W86" s="67">
        <v>0</v>
      </c>
      <c r="X86" s="228">
        <v>0</v>
      </c>
      <c r="Y86" s="228">
        <v>0</v>
      </c>
      <c r="Z86" s="73">
        <f>'Cash Flow - FY'!K86</f>
        <v>0</v>
      </c>
      <c r="AA86" s="67">
        <v>0</v>
      </c>
      <c r="AB86" s="67">
        <v>0</v>
      </c>
      <c r="AC86" s="228">
        <v>0</v>
      </c>
      <c r="AD86" s="73">
        <f>'Cash Flow - FY'!L86</f>
        <v>0</v>
      </c>
      <c r="AE86" s="67">
        <v>0</v>
      </c>
      <c r="AF86" s="67">
        <v>0</v>
      </c>
      <c r="AG86" s="67">
        <v>0</v>
      </c>
    </row>
    <row r="87" spans="1:33" hidden="1" outlineLevel="1" x14ac:dyDescent="0.2">
      <c r="A87" s="134" t="s">
        <v>103</v>
      </c>
      <c r="B87" s="143"/>
      <c r="C87" s="67">
        <v>0</v>
      </c>
      <c r="D87" s="67">
        <v>-4.0069999999999997</v>
      </c>
      <c r="E87" s="67">
        <v>-4.0069999999999997</v>
      </c>
      <c r="F87" s="73">
        <f>'Cash Flow - FY'!F87</f>
        <v>-4.6920000000000002</v>
      </c>
      <c r="G87" s="67">
        <v>0</v>
      </c>
      <c r="H87" s="67">
        <v>0</v>
      </c>
      <c r="I87" s="67">
        <v>0</v>
      </c>
      <c r="J87" s="73">
        <f>'Cash Flow - FY'!G87</f>
        <v>17.183</v>
      </c>
      <c r="K87" s="67">
        <v>0</v>
      </c>
      <c r="L87" s="67">
        <v>0</v>
      </c>
      <c r="M87" s="67">
        <v>0</v>
      </c>
      <c r="N87" s="73">
        <f>'Cash Flow - FY'!H87</f>
        <v>-65.221999999999994</v>
      </c>
      <c r="O87" s="67">
        <v>-8.9250000000000007</v>
      </c>
      <c r="P87" s="86">
        <v>-8.9250000000000007</v>
      </c>
      <c r="Q87" s="86">
        <v>-8.9250000000000007</v>
      </c>
      <c r="R87" s="73">
        <f>'Cash Flow - FY'!I87</f>
        <v>-8.9250000000000007</v>
      </c>
      <c r="S87" s="67">
        <v>0</v>
      </c>
      <c r="T87" s="86">
        <v>0</v>
      </c>
      <c r="U87" s="86">
        <v>0</v>
      </c>
      <c r="V87" s="73">
        <f>'Cash Flow - FY'!J87</f>
        <v>0</v>
      </c>
      <c r="W87" s="67">
        <v>0</v>
      </c>
      <c r="X87" s="228">
        <v>0</v>
      </c>
      <c r="Y87" s="228">
        <v>0</v>
      </c>
      <c r="Z87" s="73">
        <f>'Cash Flow - FY'!K87</f>
        <v>0</v>
      </c>
      <c r="AA87" s="67">
        <v>0</v>
      </c>
      <c r="AB87" s="67">
        <v>1.1519999999999999</v>
      </c>
      <c r="AC87" s="228">
        <v>1.278</v>
      </c>
      <c r="AD87" s="73">
        <f>'Cash Flow - FY'!L87</f>
        <v>1.33</v>
      </c>
      <c r="AE87" s="67">
        <v>0</v>
      </c>
      <c r="AF87" s="67">
        <v>0</v>
      </c>
      <c r="AG87" s="67">
        <v>0</v>
      </c>
    </row>
    <row r="88" spans="1:33" hidden="1" outlineLevel="1" x14ac:dyDescent="0.2">
      <c r="A88" s="134" t="s">
        <v>309</v>
      </c>
      <c r="B88" s="143"/>
      <c r="C88" s="67">
        <v>-5.1559999999999997</v>
      </c>
      <c r="D88" s="67">
        <v>9.9160000000000004</v>
      </c>
      <c r="E88" s="67">
        <v>9.9179999999999993</v>
      </c>
      <c r="F88" s="73">
        <f>'Cash Flow - FY'!F88</f>
        <v>9.1449999999999996</v>
      </c>
      <c r="G88" s="67">
        <v>-1.6779999999999999</v>
      </c>
      <c r="H88" s="67">
        <v>-2.4590000000000001</v>
      </c>
      <c r="I88" s="67">
        <v>-2.4590000000000001</v>
      </c>
      <c r="J88" s="73">
        <f>'Cash Flow - FY'!G88</f>
        <v>-2.4649999999999999</v>
      </c>
      <c r="K88" s="67">
        <v>152.80799999999999</v>
      </c>
      <c r="L88" s="67">
        <v>152.80799999999999</v>
      </c>
      <c r="M88" s="67">
        <v>152.80799999999999</v>
      </c>
      <c r="N88" s="73">
        <f>'Cash Flow - FY'!H88</f>
        <v>152.80799999999999</v>
      </c>
      <c r="O88" s="67">
        <v>0</v>
      </c>
      <c r="P88" s="86">
        <v>0</v>
      </c>
      <c r="Q88" s="86">
        <v>0</v>
      </c>
      <c r="R88" s="73">
        <f>'Cash Flow - FY'!I88</f>
        <v>0</v>
      </c>
      <c r="S88" s="67">
        <v>0</v>
      </c>
      <c r="T88" s="86">
        <v>0</v>
      </c>
      <c r="U88" s="86">
        <v>0</v>
      </c>
      <c r="V88" s="73">
        <f>'Cash Flow - FY'!J88</f>
        <v>0</v>
      </c>
      <c r="W88" s="67">
        <v>0</v>
      </c>
      <c r="X88" s="228">
        <v>0</v>
      </c>
      <c r="Y88" s="228">
        <v>0</v>
      </c>
      <c r="Z88" s="73">
        <f>'Cash Flow - FY'!K88</f>
        <v>0</v>
      </c>
      <c r="AA88" s="67">
        <v>0</v>
      </c>
      <c r="AB88" s="67">
        <v>0</v>
      </c>
      <c r="AC88" s="228">
        <v>0</v>
      </c>
      <c r="AD88" s="73">
        <f>'Cash Flow - FY'!L88</f>
        <v>0</v>
      </c>
      <c r="AE88" s="67">
        <v>0</v>
      </c>
      <c r="AF88" s="67">
        <v>0</v>
      </c>
      <c r="AG88" s="67">
        <v>0</v>
      </c>
    </row>
    <row r="89" spans="1:33" hidden="1" outlineLevel="1" x14ac:dyDescent="0.2">
      <c r="A89" s="134" t="s">
        <v>362</v>
      </c>
      <c r="B89" s="143"/>
      <c r="C89" s="67">
        <v>0</v>
      </c>
      <c r="D89" s="67">
        <v>0</v>
      </c>
      <c r="E89" s="67">
        <v>0</v>
      </c>
      <c r="F89" s="73">
        <f>'Cash Flow - FY'!F89</f>
        <v>0</v>
      </c>
      <c r="G89" s="67">
        <v>0</v>
      </c>
      <c r="H89" s="67">
        <v>0</v>
      </c>
      <c r="I89" s="67">
        <v>0</v>
      </c>
      <c r="J89" s="73">
        <f>'Cash Flow - FY'!G89</f>
        <v>0</v>
      </c>
      <c r="K89" s="67">
        <v>0</v>
      </c>
      <c r="L89" s="67">
        <v>0</v>
      </c>
      <c r="M89" s="67">
        <v>0</v>
      </c>
      <c r="N89" s="73">
        <f>'Cash Flow - FY'!H89</f>
        <v>0</v>
      </c>
      <c r="O89" s="67">
        <v>0</v>
      </c>
      <c r="P89" s="228">
        <v>0</v>
      </c>
      <c r="Q89" s="228">
        <v>0</v>
      </c>
      <c r="R89" s="73">
        <f>'Cash Flow - FY'!I89</f>
        <v>0</v>
      </c>
      <c r="S89" s="67">
        <v>0</v>
      </c>
      <c r="T89" s="228">
        <v>0</v>
      </c>
      <c r="U89" s="228">
        <v>0</v>
      </c>
      <c r="V89" s="73">
        <f>'Cash Flow - FY'!J89</f>
        <v>0</v>
      </c>
      <c r="W89" s="67">
        <v>-0.45</v>
      </c>
      <c r="X89" s="228">
        <v>-0.45</v>
      </c>
      <c r="Y89" s="228">
        <v>-0.45</v>
      </c>
      <c r="Z89" s="73">
        <f>'Cash Flow - FY'!K89</f>
        <v>-0.45</v>
      </c>
      <c r="AA89" s="67">
        <v>0</v>
      </c>
      <c r="AB89" s="228">
        <v>0</v>
      </c>
      <c r="AC89" s="228">
        <v>0</v>
      </c>
      <c r="AD89" s="73">
        <f>'Cash Flow - FY'!L89</f>
        <v>0</v>
      </c>
      <c r="AE89" s="67">
        <v>0</v>
      </c>
      <c r="AF89" s="228">
        <v>0</v>
      </c>
      <c r="AG89" s="228">
        <v>0</v>
      </c>
    </row>
    <row r="90" spans="1:33" hidden="1" outlineLevel="2" x14ac:dyDescent="0.2">
      <c r="A90" s="134" t="s">
        <v>104</v>
      </c>
      <c r="B90" s="143"/>
      <c r="C90" s="67">
        <v>0</v>
      </c>
      <c r="D90" s="67">
        <v>0</v>
      </c>
      <c r="E90" s="67">
        <v>0</v>
      </c>
      <c r="F90" s="73">
        <f>'Cash Flow - FY'!F90</f>
        <v>266.2</v>
      </c>
      <c r="G90" s="67">
        <v>0</v>
      </c>
      <c r="H90" s="67">
        <v>0</v>
      </c>
      <c r="I90" s="67">
        <v>0</v>
      </c>
      <c r="J90" s="73">
        <f>'Cash Flow - FY'!G90</f>
        <v>0</v>
      </c>
      <c r="K90" s="67">
        <v>0</v>
      </c>
      <c r="L90" s="67">
        <v>0</v>
      </c>
      <c r="M90" s="67">
        <v>0</v>
      </c>
      <c r="N90" s="73">
        <f>'Cash Flow - FY'!H90</f>
        <v>0</v>
      </c>
      <c r="O90" s="67">
        <v>0</v>
      </c>
      <c r="P90" s="86">
        <v>0</v>
      </c>
      <c r="Q90" s="86">
        <v>0</v>
      </c>
      <c r="R90" s="73">
        <f>'Cash Flow - FY'!I90</f>
        <v>0</v>
      </c>
      <c r="S90" s="67">
        <v>0</v>
      </c>
      <c r="T90" s="86">
        <v>0</v>
      </c>
      <c r="U90" s="86">
        <v>0</v>
      </c>
      <c r="V90" s="73">
        <f>'Cash Flow - FY'!J90</f>
        <v>0</v>
      </c>
      <c r="W90" s="67">
        <v>0</v>
      </c>
      <c r="X90" s="228">
        <v>0</v>
      </c>
      <c r="Y90" s="228">
        <v>0</v>
      </c>
      <c r="Z90" s="73">
        <f>'Cash Flow - FY'!K90</f>
        <v>0</v>
      </c>
      <c r="AA90" s="67">
        <v>0</v>
      </c>
      <c r="AB90" s="228">
        <v>0</v>
      </c>
      <c r="AC90" s="228">
        <v>0</v>
      </c>
      <c r="AD90" s="73">
        <f>'Cash Flow - FY'!L90</f>
        <v>0</v>
      </c>
      <c r="AE90" s="67">
        <v>0</v>
      </c>
      <c r="AF90" s="228">
        <v>0</v>
      </c>
      <c r="AG90" s="228">
        <v>0</v>
      </c>
    </row>
    <row r="91" spans="1:33" hidden="1" outlineLevel="2" x14ac:dyDescent="0.2">
      <c r="A91" s="134" t="s">
        <v>105</v>
      </c>
      <c r="B91" s="143"/>
      <c r="C91" s="67">
        <v>0</v>
      </c>
      <c r="D91" s="67">
        <v>0</v>
      </c>
      <c r="E91" s="67">
        <v>0</v>
      </c>
      <c r="F91" s="73">
        <f>'Cash Flow - FY'!F91</f>
        <v>70.748999999999995</v>
      </c>
      <c r="G91" s="67">
        <v>0</v>
      </c>
      <c r="H91" s="67">
        <v>0</v>
      </c>
      <c r="I91" s="67">
        <v>0</v>
      </c>
      <c r="J91" s="73">
        <f>'Cash Flow - FY'!G91</f>
        <v>0</v>
      </c>
      <c r="K91" s="67">
        <v>0</v>
      </c>
      <c r="L91" s="67">
        <v>0</v>
      </c>
      <c r="M91" s="67">
        <v>0</v>
      </c>
      <c r="N91" s="73">
        <f>'Cash Flow - FY'!H91</f>
        <v>0</v>
      </c>
      <c r="O91" s="67">
        <v>0</v>
      </c>
      <c r="P91" s="86">
        <v>0</v>
      </c>
      <c r="Q91" s="86">
        <v>0</v>
      </c>
      <c r="R91" s="73">
        <f>'Cash Flow - FY'!I91</f>
        <v>0</v>
      </c>
      <c r="S91" s="67">
        <v>0</v>
      </c>
      <c r="T91" s="86">
        <v>0</v>
      </c>
      <c r="U91" s="86">
        <v>0</v>
      </c>
      <c r="V91" s="73">
        <f>'Cash Flow - FY'!J91</f>
        <v>0</v>
      </c>
      <c r="W91" s="67">
        <v>0</v>
      </c>
      <c r="X91" s="228">
        <v>0</v>
      </c>
      <c r="Y91" s="228">
        <v>0</v>
      </c>
      <c r="Z91" s="73">
        <f>'Cash Flow - FY'!K91</f>
        <v>0</v>
      </c>
      <c r="AA91" s="67">
        <v>0</v>
      </c>
      <c r="AB91" s="228">
        <v>0</v>
      </c>
      <c r="AC91" s="228">
        <v>0</v>
      </c>
      <c r="AD91" s="73">
        <f>'Cash Flow - FY'!L91</f>
        <v>0</v>
      </c>
      <c r="AE91" s="67">
        <v>0</v>
      </c>
      <c r="AF91" s="228">
        <v>0</v>
      </c>
      <c r="AG91" s="228">
        <v>0</v>
      </c>
    </row>
    <row r="92" spans="1:33" hidden="1" outlineLevel="2" x14ac:dyDescent="0.2">
      <c r="A92" s="134" t="s">
        <v>265</v>
      </c>
      <c r="B92" s="143"/>
      <c r="C92" s="67">
        <v>0</v>
      </c>
      <c r="D92" s="67">
        <v>0</v>
      </c>
      <c r="E92" s="67">
        <v>0</v>
      </c>
      <c r="F92" s="73">
        <f>'Cash Flow - FY'!F92</f>
        <v>0</v>
      </c>
      <c r="G92" s="67">
        <v>0</v>
      </c>
      <c r="H92" s="67">
        <v>0</v>
      </c>
      <c r="I92" s="67">
        <v>0</v>
      </c>
      <c r="J92" s="73">
        <f>'Cash Flow - FY'!G92</f>
        <v>0</v>
      </c>
      <c r="K92" s="67">
        <v>0</v>
      </c>
      <c r="L92" s="67">
        <v>0</v>
      </c>
      <c r="M92" s="67">
        <v>0</v>
      </c>
      <c r="N92" s="73">
        <f>'Cash Flow - FY'!H92</f>
        <v>-1.393</v>
      </c>
      <c r="O92" s="67">
        <v>0</v>
      </c>
      <c r="P92" s="86">
        <v>0</v>
      </c>
      <c r="Q92" s="86">
        <v>0</v>
      </c>
      <c r="R92" s="73">
        <f>'Cash Flow - FY'!I92</f>
        <v>0</v>
      </c>
      <c r="S92" s="67">
        <v>0</v>
      </c>
      <c r="T92" s="86">
        <v>0</v>
      </c>
      <c r="U92" s="86">
        <v>0</v>
      </c>
      <c r="V92" s="73">
        <f>'Cash Flow - FY'!J92</f>
        <v>0</v>
      </c>
      <c r="W92" s="67">
        <v>0</v>
      </c>
      <c r="X92" s="228">
        <v>0</v>
      </c>
      <c r="Y92" s="228">
        <v>0</v>
      </c>
      <c r="Z92" s="73">
        <f>'Cash Flow - FY'!K92</f>
        <v>0</v>
      </c>
      <c r="AA92" s="67">
        <v>0</v>
      </c>
      <c r="AB92" s="228">
        <v>0</v>
      </c>
      <c r="AC92" s="228">
        <v>0</v>
      </c>
      <c r="AD92" s="73">
        <f>'Cash Flow - FY'!L92</f>
        <v>0</v>
      </c>
      <c r="AE92" s="67">
        <v>0</v>
      </c>
      <c r="AF92" s="228">
        <v>0</v>
      </c>
      <c r="AG92" s="228">
        <v>0</v>
      </c>
    </row>
    <row r="93" spans="1:33" hidden="1" outlineLevel="2" x14ac:dyDescent="0.2">
      <c r="A93" s="134" t="s">
        <v>106</v>
      </c>
      <c r="B93" s="143"/>
      <c r="C93" s="67">
        <v>0</v>
      </c>
      <c r="D93" s="67">
        <v>0</v>
      </c>
      <c r="E93" s="67">
        <v>0</v>
      </c>
      <c r="F93" s="73">
        <f>'Cash Flow - FY'!F93</f>
        <v>-53.395000000000003</v>
      </c>
      <c r="G93" s="67">
        <v>0</v>
      </c>
      <c r="H93" s="67">
        <v>0</v>
      </c>
      <c r="I93" s="67">
        <v>0</v>
      </c>
      <c r="J93" s="73">
        <f>'Cash Flow - FY'!G93</f>
        <v>0</v>
      </c>
      <c r="K93" s="67">
        <v>0</v>
      </c>
      <c r="L93" s="67">
        <v>0</v>
      </c>
      <c r="M93" s="67">
        <v>0</v>
      </c>
      <c r="N93" s="73">
        <f>'Cash Flow - FY'!H93</f>
        <v>0</v>
      </c>
      <c r="O93" s="67">
        <v>0</v>
      </c>
      <c r="P93" s="86">
        <v>0</v>
      </c>
      <c r="Q93" s="86">
        <v>0</v>
      </c>
      <c r="R93" s="73">
        <f>'Cash Flow - FY'!I93</f>
        <v>0</v>
      </c>
      <c r="S93" s="67">
        <v>0</v>
      </c>
      <c r="T93" s="86">
        <v>0</v>
      </c>
      <c r="U93" s="86">
        <v>0</v>
      </c>
      <c r="V93" s="73">
        <f>'Cash Flow - FY'!J93</f>
        <v>0</v>
      </c>
      <c r="W93" s="67">
        <v>0</v>
      </c>
      <c r="X93" s="228">
        <v>0</v>
      </c>
      <c r="Y93" s="228">
        <v>0</v>
      </c>
      <c r="Z93" s="73">
        <f>'Cash Flow - FY'!K93</f>
        <v>0</v>
      </c>
      <c r="AA93" s="67">
        <v>0</v>
      </c>
      <c r="AB93" s="228">
        <v>0</v>
      </c>
      <c r="AC93" s="228">
        <v>0</v>
      </c>
      <c r="AD93" s="73">
        <f>'Cash Flow - FY'!L93</f>
        <v>0</v>
      </c>
      <c r="AE93" s="67">
        <v>0</v>
      </c>
      <c r="AF93" s="228">
        <v>0</v>
      </c>
      <c r="AG93" s="228">
        <v>0</v>
      </c>
    </row>
    <row r="94" spans="1:33" hidden="1" outlineLevel="1" x14ac:dyDescent="0.2">
      <c r="A94" s="134" t="s">
        <v>343</v>
      </c>
      <c r="B94" s="143"/>
      <c r="C94" s="79">
        <f>IFERROR(C95+C96,"n.a.")</f>
        <v>0</v>
      </c>
      <c r="D94" s="79">
        <f t="shared" ref="D94:U94" si="32">IFERROR(D95+D96,"n.a.")</f>
        <v>1.7969999999999999</v>
      </c>
      <c r="E94" s="79">
        <f t="shared" si="32"/>
        <v>1.796</v>
      </c>
      <c r="F94" s="79">
        <f t="shared" si="32"/>
        <v>6.65</v>
      </c>
      <c r="G94" s="79">
        <f t="shared" si="32"/>
        <v>0</v>
      </c>
      <c r="H94" s="79">
        <f t="shared" si="32"/>
        <v>4.8000000000000001E-2</v>
      </c>
      <c r="I94" s="79">
        <f t="shared" si="32"/>
        <v>0.13700000000000001</v>
      </c>
      <c r="J94" s="79">
        <f t="shared" si="32"/>
        <v>9.8339999999999996</v>
      </c>
      <c r="K94" s="79">
        <f t="shared" si="32"/>
        <v>2.2240000000000002</v>
      </c>
      <c r="L94" s="79">
        <f t="shared" si="32"/>
        <v>3.0700000000000003</v>
      </c>
      <c r="M94" s="79">
        <f t="shared" si="32"/>
        <v>4.1459999999999999</v>
      </c>
      <c r="N94" s="79">
        <f t="shared" si="32"/>
        <v>4.1760000000000002</v>
      </c>
      <c r="O94" s="79">
        <f t="shared" si="32"/>
        <v>0</v>
      </c>
      <c r="P94" s="81">
        <f t="shared" si="32"/>
        <v>1.724</v>
      </c>
      <c r="Q94" s="81">
        <f t="shared" si="32"/>
        <v>13.986000000000001</v>
      </c>
      <c r="R94" s="79">
        <f t="shared" si="32"/>
        <v>14.956</v>
      </c>
      <c r="S94" s="79">
        <f t="shared" si="32"/>
        <v>0</v>
      </c>
      <c r="T94" s="81">
        <f t="shared" si="32"/>
        <v>6.5000000000000002E-2</v>
      </c>
      <c r="U94" s="81">
        <f t="shared" si="32"/>
        <v>6.5000000000000002E-2</v>
      </c>
      <c r="V94" s="73">
        <f>'Cash Flow - FY'!J94</f>
        <v>6.5000000000000002E-2</v>
      </c>
      <c r="W94" s="67">
        <v>1E-3</v>
      </c>
      <c r="X94" s="228">
        <v>0.96099999999999997</v>
      </c>
      <c r="Y94" s="228">
        <v>0.97199999999999998</v>
      </c>
      <c r="Z94" s="73">
        <f>'Cash Flow - FY'!K94</f>
        <v>2.274</v>
      </c>
      <c r="AA94" s="67">
        <v>0</v>
      </c>
      <c r="AB94" s="228">
        <v>1.732</v>
      </c>
      <c r="AC94" s="228">
        <v>1.734</v>
      </c>
      <c r="AD94" s="73">
        <f>'Cash Flow - FY'!L94</f>
        <v>3.23</v>
      </c>
      <c r="AE94" s="67">
        <v>0</v>
      </c>
      <c r="AF94" s="228">
        <v>1.552</v>
      </c>
      <c r="AG94" s="228">
        <v>2.2839999999999998</v>
      </c>
    </row>
    <row r="95" spans="1:33" hidden="1" outlineLevel="2" x14ac:dyDescent="0.2">
      <c r="A95" s="134" t="s">
        <v>310</v>
      </c>
      <c r="B95" s="143"/>
      <c r="C95" s="67">
        <v>0</v>
      </c>
      <c r="D95" s="67">
        <v>0</v>
      </c>
      <c r="E95" s="67">
        <v>0</v>
      </c>
      <c r="F95" s="73">
        <f>'Cash Flow - FY'!F95</f>
        <v>0</v>
      </c>
      <c r="G95" s="67">
        <v>0</v>
      </c>
      <c r="H95" s="67">
        <v>0</v>
      </c>
      <c r="I95" s="67">
        <v>0</v>
      </c>
      <c r="J95" s="73">
        <f>'Cash Flow - FY'!G95</f>
        <v>0</v>
      </c>
      <c r="K95" s="67">
        <v>0</v>
      </c>
      <c r="L95" s="67">
        <v>0</v>
      </c>
      <c r="M95" s="67">
        <v>0</v>
      </c>
      <c r="N95" s="73">
        <f>'Cash Flow - FY'!H95</f>
        <v>0</v>
      </c>
      <c r="O95" s="67">
        <v>0</v>
      </c>
      <c r="P95" s="86">
        <v>0</v>
      </c>
      <c r="Q95" s="86">
        <v>9.43</v>
      </c>
      <c r="R95" s="73">
        <f>'Cash Flow - FY'!I95</f>
        <v>9.43</v>
      </c>
      <c r="S95" s="67">
        <v>0</v>
      </c>
      <c r="T95" s="86">
        <v>0</v>
      </c>
      <c r="U95" s="86">
        <v>0</v>
      </c>
      <c r="V95" s="73" t="str">
        <f>'Cash Flow - FY'!J95</f>
        <v>n.a.</v>
      </c>
      <c r="W95" s="67" t="s">
        <v>228</v>
      </c>
      <c r="X95" s="228" t="s">
        <v>228</v>
      </c>
      <c r="Y95" s="228" t="s">
        <v>228</v>
      </c>
      <c r="Z95" s="73" t="str">
        <f>'Cash Flow - FY'!K95</f>
        <v>n.a.</v>
      </c>
      <c r="AA95" s="67" t="s">
        <v>228</v>
      </c>
      <c r="AB95" s="67" t="s">
        <v>228</v>
      </c>
      <c r="AC95" s="228" t="s">
        <v>228</v>
      </c>
      <c r="AD95" s="73" t="str">
        <f>'Cash Flow - FY'!L95</f>
        <v>n.a.</v>
      </c>
      <c r="AE95" s="67" t="s">
        <v>228</v>
      </c>
      <c r="AF95" s="67" t="s">
        <v>228</v>
      </c>
      <c r="AG95" s="67" t="s">
        <v>228</v>
      </c>
    </row>
    <row r="96" spans="1:33" hidden="1" outlineLevel="2" x14ac:dyDescent="0.2">
      <c r="A96" s="134" t="s">
        <v>235</v>
      </c>
      <c r="B96" s="143"/>
      <c r="C96" s="67">
        <v>0</v>
      </c>
      <c r="D96" s="67">
        <v>1.7969999999999999</v>
      </c>
      <c r="E96" s="67">
        <v>1.796</v>
      </c>
      <c r="F96" s="73">
        <f>'Cash Flow - FY'!F96</f>
        <v>6.65</v>
      </c>
      <c r="G96" s="67">
        <v>0</v>
      </c>
      <c r="H96" s="67">
        <v>4.8000000000000001E-2</v>
      </c>
      <c r="I96" s="67">
        <v>0.13700000000000001</v>
      </c>
      <c r="J96" s="73">
        <f>'Cash Flow - FY'!G96</f>
        <v>9.8339999999999996</v>
      </c>
      <c r="K96" s="67">
        <v>2.2240000000000002</v>
      </c>
      <c r="L96" s="67">
        <f>0.596+2.474</f>
        <v>3.0700000000000003</v>
      </c>
      <c r="M96" s="67">
        <f>2.474+1.672</f>
        <v>4.1459999999999999</v>
      </c>
      <c r="N96" s="73">
        <f>'Cash Flow - FY'!H96</f>
        <v>4.1760000000000002</v>
      </c>
      <c r="O96" s="67">
        <v>0</v>
      </c>
      <c r="P96" s="86">
        <v>1.724</v>
      </c>
      <c r="Q96" s="86">
        <v>4.556</v>
      </c>
      <c r="R96" s="73">
        <f>'Cash Flow - FY'!I96</f>
        <v>5.5259999999999998</v>
      </c>
      <c r="S96" s="67">
        <v>0</v>
      </c>
      <c r="T96" s="86">
        <v>6.5000000000000002E-2</v>
      </c>
      <c r="U96" s="86">
        <v>6.5000000000000002E-2</v>
      </c>
      <c r="V96" s="73" t="str">
        <f>'Cash Flow - FY'!J96</f>
        <v>n.a.</v>
      </c>
      <c r="W96" s="67" t="s">
        <v>228</v>
      </c>
      <c r="X96" s="228" t="s">
        <v>228</v>
      </c>
      <c r="Y96" s="228" t="s">
        <v>228</v>
      </c>
      <c r="Z96" s="73" t="str">
        <f>'Cash Flow - FY'!K96</f>
        <v>n.a.</v>
      </c>
      <c r="AA96" s="67" t="s">
        <v>228</v>
      </c>
      <c r="AB96" s="67" t="s">
        <v>228</v>
      </c>
      <c r="AC96" s="228" t="s">
        <v>228</v>
      </c>
      <c r="AD96" s="73" t="str">
        <f>'Cash Flow - FY'!L96</f>
        <v>n.a.</v>
      </c>
      <c r="AE96" s="67" t="s">
        <v>228</v>
      </c>
      <c r="AF96" s="67" t="s">
        <v>228</v>
      </c>
      <c r="AG96" s="67" t="s">
        <v>228</v>
      </c>
    </row>
    <row r="97" spans="1:33" hidden="1" outlineLevel="1" x14ac:dyDescent="0.2">
      <c r="A97" s="134" t="s">
        <v>370</v>
      </c>
      <c r="B97" s="143"/>
      <c r="C97" s="67" t="s">
        <v>228</v>
      </c>
      <c r="D97" s="67" t="s">
        <v>228</v>
      </c>
      <c r="E97" s="67" t="s">
        <v>228</v>
      </c>
      <c r="F97" s="73" t="str">
        <f>'Cash Flow - FY'!F97</f>
        <v>n.a.</v>
      </c>
      <c r="G97" s="67" t="s">
        <v>228</v>
      </c>
      <c r="H97" s="67" t="s">
        <v>228</v>
      </c>
      <c r="I97" s="67" t="s">
        <v>228</v>
      </c>
      <c r="J97" s="73" t="str">
        <f>'Cash Flow - FY'!G97</f>
        <v>n.a.</v>
      </c>
      <c r="K97" s="67" t="s">
        <v>228</v>
      </c>
      <c r="L97" s="67" t="s">
        <v>228</v>
      </c>
      <c r="M97" s="67" t="s">
        <v>228</v>
      </c>
      <c r="N97" s="73" t="str">
        <f>'Cash Flow - FY'!H97</f>
        <v>n.a.</v>
      </c>
      <c r="O97" s="67" t="s">
        <v>228</v>
      </c>
      <c r="P97" s="228" t="s">
        <v>228</v>
      </c>
      <c r="Q97" s="228" t="s">
        <v>228</v>
      </c>
      <c r="R97" s="73">
        <f>'Cash Flow - FY'!I97</f>
        <v>-13.42</v>
      </c>
      <c r="S97" s="67">
        <v>0.32800000000000001</v>
      </c>
      <c r="T97" s="228">
        <v>-12.292</v>
      </c>
      <c r="U97" s="228">
        <v>-37.853000000000002</v>
      </c>
      <c r="V97" s="73">
        <f>'Cash Flow - FY'!J97</f>
        <v>-64.093000000000004</v>
      </c>
      <c r="W97" s="67">
        <v>5.7720000000000002</v>
      </c>
      <c r="X97" s="228">
        <v>-0.56599999999999995</v>
      </c>
      <c r="Y97" s="228">
        <v>15.173</v>
      </c>
      <c r="Z97" s="73">
        <f>'Cash Flow - FY'!K97</f>
        <v>15.272</v>
      </c>
      <c r="AA97" s="67">
        <v>-0.90300000000000002</v>
      </c>
      <c r="AB97" s="228">
        <v>-8.5510000000000002</v>
      </c>
      <c r="AC97" s="228">
        <v>-15.071999999999999</v>
      </c>
      <c r="AD97" s="73">
        <f>'Cash Flow - FY'!L97</f>
        <v>-0.15016399999999999</v>
      </c>
      <c r="AE97" s="67">
        <v>-0.871</v>
      </c>
      <c r="AF97" s="228">
        <v>-1.425</v>
      </c>
      <c r="AG97" s="228">
        <v>-0.338536</v>
      </c>
    </row>
    <row r="98" spans="1:33" s="22" customFormat="1" collapsed="1" x14ac:dyDescent="0.2">
      <c r="A98" s="126" t="s">
        <v>113</v>
      </c>
      <c r="B98" s="154"/>
      <c r="C98" s="76">
        <f t="shared" ref="C98:Q98" si="33">IFERROR(C77+C78+C79+C82+C83+C84+C85+C86+C87+C88+C89+C94+C90+C91+C92+C93,"n.a.")</f>
        <v>-75.056000000000012</v>
      </c>
      <c r="D98" s="76">
        <f t="shared" si="33"/>
        <v>-138.09300000000002</v>
      </c>
      <c r="E98" s="76">
        <f t="shared" si="33"/>
        <v>-228.67700000000002</v>
      </c>
      <c r="F98" s="76">
        <f t="shared" si="33"/>
        <v>114.45299999999997</v>
      </c>
      <c r="G98" s="76">
        <f t="shared" si="33"/>
        <v>-97.586999999999989</v>
      </c>
      <c r="H98" s="76">
        <f t="shared" si="33"/>
        <v>-214.16800000000001</v>
      </c>
      <c r="I98" s="76">
        <f t="shared" si="33"/>
        <v>-340.29162798401399</v>
      </c>
      <c r="J98" s="76">
        <f t="shared" si="33"/>
        <v>-398.37799999999999</v>
      </c>
      <c r="K98" s="76">
        <f t="shared" si="33"/>
        <v>55.47</v>
      </c>
      <c r="L98" s="76">
        <f t="shared" si="33"/>
        <v>-90.387000000000029</v>
      </c>
      <c r="M98" s="76">
        <f t="shared" si="33"/>
        <v>-199.03700000000006</v>
      </c>
      <c r="N98" s="76">
        <f t="shared" si="33"/>
        <v>-410.18799999999999</v>
      </c>
      <c r="O98" s="76">
        <f t="shared" si="33"/>
        <v>-94.789999999999978</v>
      </c>
      <c r="P98" s="76">
        <f t="shared" si="33"/>
        <v>-195.26800000000006</v>
      </c>
      <c r="Q98" s="76">
        <f t="shared" si="33"/>
        <v>-274.74900000000008</v>
      </c>
      <c r="R98" s="76">
        <f t="shared" ref="R98:W98" si="34">IFERROR(R77+R78+R79+R82+R83+R84+R85+R86+R87+R88+R89+R94+R90+R91+R92+R93+R97,"n.a.")</f>
        <v>-375.77500000000003</v>
      </c>
      <c r="S98" s="76">
        <f t="shared" si="34"/>
        <v>-101.99999999999999</v>
      </c>
      <c r="T98" s="76">
        <f t="shared" si="34"/>
        <v>-149.66700000000003</v>
      </c>
      <c r="U98" s="76">
        <f t="shared" si="34"/>
        <v>-210.78800000000001</v>
      </c>
      <c r="V98" s="76">
        <f t="shared" si="34"/>
        <v>-251.68099999999998</v>
      </c>
      <c r="W98" s="76">
        <f t="shared" si="34"/>
        <v>-71.369999999999976</v>
      </c>
      <c r="X98" s="76">
        <f>IFERROR(X77+X78+X79+X82+X83+X84+X85+X86+X87+X88+X89+X94+X90+X91+X92+X93+X97,"n.a.")</f>
        <v>-117.538</v>
      </c>
      <c r="Y98" s="76">
        <f>IFERROR(Y77+Y78+Y79+Y82+Y83+Y84+Y85+Y86+Y87+Y88+Y89+Y94+Y90+Y91+Y92+Y93+Y97,"n.a.")</f>
        <v>-197.72999999999996</v>
      </c>
      <c r="Z98" s="76">
        <f>IFERROR(Z77+Z78+Z79+Z82+Z83+Z84+Z85+Z86+Z87+Z88+Z89+Z94+Z90+Z91+Z92+Z93+Z97,"n.a.")</f>
        <v>-256.39100000000008</v>
      </c>
      <c r="AA98" s="76">
        <f>IFERROR(AA77+AA78+AA79+AA82+AA83+AA84+AA85+AA86+AA87+AA88+AA89+AA94+AA90+AA91+AA92+AA93+AA97-0.001,"n.a.")</f>
        <v>-90.451999999999998</v>
      </c>
      <c r="AB98" s="76">
        <f>IFERROR(AB77+AB78+AB79+AB82+AB83+AB84+AB85+AB86+AB87+AB88+AB89+AB94+AB90+AB91+AB92+AB93+AB97,"n.a.")</f>
        <v>-157.77699999999999</v>
      </c>
      <c r="AC98" s="76">
        <f>IFERROR(AC77+AC78+AC79+AC82+AC83+AC84+AC85+AC86+AC87+AC88+AC89+AC94+AC90+AC91+AC92+AC93+AC97,"n.a.")</f>
        <v>-229.18100000000001</v>
      </c>
      <c r="AD98" s="76">
        <f>IFERROR(AD77+AD78+AD79+AD82+AD83+AD84+AD85+AD86+AD87+AD88+AD89+AD94+AD90+AD91+AD92+AD93+AD97,"n.a.")</f>
        <v>-326.61874431092053</v>
      </c>
      <c r="AE98" s="76">
        <f>IFERROR(AE77+AE78+AE79+AE82+AE83+AE84+AE85+AE86+AE87+AE88+AE89+AE94+AE90+AE91+AE92+AE93+AE97-0.001,"n.a.")</f>
        <v>-122.22200000000001</v>
      </c>
      <c r="AF98" s="76">
        <f>IFERROR(AF77+AF78+AF79+AF82+AF83+AF84+AF85+AF86+AF87+AF88+AF89+AF94+AF90+AF91+AF92+AF93+AF97,"n.a.")</f>
        <v>-198.72800000000004</v>
      </c>
      <c r="AG98" s="76">
        <f>IFERROR(AG77+AG78+AG79+AG82+AG83+AG84+AG85+AG86+AG87+AG88+AG89+AG94+AG90+AG91+AG92+AG93+AG97,"n.a.")</f>
        <v>-274.10508678970473</v>
      </c>
    </row>
    <row r="99" spans="1:33" x14ac:dyDescent="0.2">
      <c r="A99" s="139"/>
      <c r="B99" s="55"/>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row>
    <row r="100" spans="1:33" hidden="1" outlineLevel="1" x14ac:dyDescent="0.2">
      <c r="A100" s="141" t="s">
        <v>341</v>
      </c>
      <c r="B100" s="142"/>
      <c r="C100" s="228" t="s">
        <v>228</v>
      </c>
      <c r="D100" s="228" t="s">
        <v>228</v>
      </c>
      <c r="E100" s="228" t="s">
        <v>228</v>
      </c>
      <c r="F100" s="229" t="str">
        <f>'Cash Flow - FY'!F100</f>
        <v>n.a.</v>
      </c>
      <c r="G100" s="228" t="s">
        <v>228</v>
      </c>
      <c r="H100" s="228" t="s">
        <v>228</v>
      </c>
      <c r="I100" s="228" t="s">
        <v>228</v>
      </c>
      <c r="J100" s="229" t="str">
        <f>'Cash Flow - FY'!G100</f>
        <v>n.a.</v>
      </c>
      <c r="K100" s="228" t="s">
        <v>228</v>
      </c>
      <c r="L100" s="228" t="s">
        <v>228</v>
      </c>
      <c r="M100" s="228" t="s">
        <v>228</v>
      </c>
      <c r="N100" s="229" t="str">
        <f>'Cash Flow - FY'!H100</f>
        <v>n.a.</v>
      </c>
      <c r="O100" s="228" t="s">
        <v>228</v>
      </c>
      <c r="P100" s="228" t="s">
        <v>228</v>
      </c>
      <c r="Q100" s="228" t="s">
        <v>228</v>
      </c>
      <c r="R100" s="229">
        <f>'Cash Flow - FY'!I100</f>
        <v>1706.4570000000001</v>
      </c>
      <c r="S100" s="228">
        <v>697.96500000000003</v>
      </c>
      <c r="T100" s="228">
        <v>1832.0830000000001</v>
      </c>
      <c r="U100" s="228">
        <v>2106.4580000000001</v>
      </c>
      <c r="V100" s="229">
        <f>'Cash Flow - FY'!J100</f>
        <v>2577.1819999999998</v>
      </c>
      <c r="W100" s="228">
        <v>390.649</v>
      </c>
      <c r="X100" s="228">
        <v>396.91899999999998</v>
      </c>
      <c r="Y100" s="228">
        <v>376.51900000000001</v>
      </c>
      <c r="Z100" s="229">
        <f>'Cash Flow - FY'!K100</f>
        <v>886.24199999999996</v>
      </c>
      <c r="AA100" s="228">
        <v>806.72400000000005</v>
      </c>
      <c r="AB100" s="228">
        <v>902.72500000000002</v>
      </c>
      <c r="AC100" s="228">
        <v>1404.914</v>
      </c>
      <c r="AD100" s="229">
        <f>'Cash Flow - FY'!L100</f>
        <v>1324.0667628483423</v>
      </c>
      <c r="AE100" s="228">
        <v>807.56799999999998</v>
      </c>
      <c r="AF100" s="228">
        <v>792.02800000000002</v>
      </c>
      <c r="AG100" s="228">
        <v>1090.032017579947</v>
      </c>
    </row>
    <row r="101" spans="1:33" hidden="1" outlineLevel="1" x14ac:dyDescent="0.2">
      <c r="A101" s="141" t="s">
        <v>342</v>
      </c>
      <c r="B101" s="142"/>
      <c r="C101" s="228" t="s">
        <v>228</v>
      </c>
      <c r="D101" s="228" t="s">
        <v>228</v>
      </c>
      <c r="E101" s="228" t="s">
        <v>228</v>
      </c>
      <c r="F101" s="229" t="str">
        <f>'Cash Flow - FY'!F101</f>
        <v>n.a.</v>
      </c>
      <c r="G101" s="228" t="s">
        <v>228</v>
      </c>
      <c r="H101" s="228" t="s">
        <v>228</v>
      </c>
      <c r="I101" s="228" t="s">
        <v>228</v>
      </c>
      <c r="J101" s="229" t="str">
        <f>'Cash Flow - FY'!G101</f>
        <v>n.a.</v>
      </c>
      <c r="K101" s="228" t="s">
        <v>228</v>
      </c>
      <c r="L101" s="228" t="s">
        <v>228</v>
      </c>
      <c r="M101" s="228" t="s">
        <v>228</v>
      </c>
      <c r="N101" s="229" t="str">
        <f>'Cash Flow - FY'!H101</f>
        <v>n.a.</v>
      </c>
      <c r="O101" s="228" t="s">
        <v>228</v>
      </c>
      <c r="P101" s="228" t="s">
        <v>228</v>
      </c>
      <c r="Q101" s="228" t="s">
        <v>228</v>
      </c>
      <c r="R101" s="229">
        <f>'Cash Flow - FY'!I101</f>
        <v>-1623.3409999999999</v>
      </c>
      <c r="S101" s="228">
        <v>-480.73899999999998</v>
      </c>
      <c r="T101" s="228">
        <v>-943.11099999999999</v>
      </c>
      <c r="U101" s="228">
        <v>-1465.325</v>
      </c>
      <c r="V101" s="229">
        <f>'Cash Flow - FY'!J101</f>
        <v>-1806.69</v>
      </c>
      <c r="W101" s="228">
        <v>-1323.9369999999999</v>
      </c>
      <c r="X101" s="228">
        <v>-1398.617</v>
      </c>
      <c r="Y101" s="228">
        <v>-1451.672</v>
      </c>
      <c r="Z101" s="229">
        <f>'Cash Flow - FY'!K101</f>
        <v>-1649.4480000000001</v>
      </c>
      <c r="AA101" s="228">
        <v>-1257.24</v>
      </c>
      <c r="AB101" s="228">
        <v>-1361.5509999999999</v>
      </c>
      <c r="AC101" s="228">
        <v>-1426.6769999999999</v>
      </c>
      <c r="AD101" s="229">
        <f>'Cash Flow - FY'!L101</f>
        <v>-2113.8297285326016</v>
      </c>
      <c r="AE101" s="228">
        <v>-444.95499999999998</v>
      </c>
      <c r="AF101" s="228">
        <v>-509.05500000000001</v>
      </c>
      <c r="AG101" s="228">
        <v>-1300.9711627690979</v>
      </c>
    </row>
    <row r="102" spans="1:33" hidden="1" outlineLevel="2" x14ac:dyDescent="0.2">
      <c r="A102" s="141" t="s">
        <v>107</v>
      </c>
      <c r="B102" s="142"/>
      <c r="C102" s="86">
        <v>0</v>
      </c>
      <c r="D102" s="86">
        <v>0</v>
      </c>
      <c r="E102" s="86">
        <v>0</v>
      </c>
      <c r="F102" s="115">
        <f>'Cash Flow - FY'!F102</f>
        <v>0</v>
      </c>
      <c r="G102" s="86">
        <v>0</v>
      </c>
      <c r="H102" s="86">
        <v>1189.375</v>
      </c>
      <c r="I102" s="86">
        <v>1189.375</v>
      </c>
      <c r="J102" s="115">
        <f>'Cash Flow - FY'!G102</f>
        <v>1189.375</v>
      </c>
      <c r="K102" s="86">
        <v>0</v>
      </c>
      <c r="L102" s="86">
        <v>0</v>
      </c>
      <c r="M102" s="86">
        <v>0</v>
      </c>
      <c r="N102" s="115">
        <f>'Cash Flow - FY'!H102</f>
        <v>0</v>
      </c>
      <c r="O102" s="86">
        <v>0</v>
      </c>
      <c r="P102" s="86">
        <v>0</v>
      </c>
      <c r="Q102" s="86">
        <v>0</v>
      </c>
      <c r="R102" s="115">
        <f>'Cash Flow - FY'!I102</f>
        <v>0</v>
      </c>
      <c r="S102" s="86">
        <v>0</v>
      </c>
      <c r="T102" s="86">
        <v>0</v>
      </c>
      <c r="U102" s="86">
        <v>0</v>
      </c>
      <c r="V102" s="115">
        <f>'Cash Flow - FY'!J102</f>
        <v>0</v>
      </c>
      <c r="W102" s="228">
        <v>0</v>
      </c>
      <c r="X102" s="228">
        <v>0</v>
      </c>
      <c r="Y102" s="228">
        <v>0</v>
      </c>
      <c r="Z102" s="229">
        <f>'Cash Flow - FY'!K102</f>
        <v>0</v>
      </c>
      <c r="AA102" s="228">
        <v>0</v>
      </c>
      <c r="AB102" s="228">
        <v>0</v>
      </c>
      <c r="AC102" s="228">
        <v>0</v>
      </c>
      <c r="AD102" s="229">
        <f>'Cash Flow - FY'!L102</f>
        <v>0</v>
      </c>
      <c r="AE102" s="228">
        <v>0</v>
      </c>
      <c r="AF102" s="228">
        <v>0</v>
      </c>
      <c r="AG102" s="228">
        <v>0</v>
      </c>
    </row>
    <row r="103" spans="1:33" hidden="1" outlineLevel="2" x14ac:dyDescent="0.2">
      <c r="A103" s="134" t="s">
        <v>108</v>
      </c>
      <c r="B103" s="143"/>
      <c r="C103" s="67">
        <v>0</v>
      </c>
      <c r="D103" s="67">
        <v>0</v>
      </c>
      <c r="E103" s="67">
        <v>0</v>
      </c>
      <c r="F103" s="73">
        <f>'Cash Flow - FY'!F103</f>
        <v>0</v>
      </c>
      <c r="G103" s="67">
        <v>0</v>
      </c>
      <c r="H103" s="67">
        <v>251</v>
      </c>
      <c r="I103" s="67">
        <v>0</v>
      </c>
      <c r="J103" s="73">
        <f>'Cash Flow - FY'!G103</f>
        <v>0</v>
      </c>
      <c r="K103" s="67">
        <v>0</v>
      </c>
      <c r="L103" s="67">
        <v>0</v>
      </c>
      <c r="M103" s="67">
        <v>0</v>
      </c>
      <c r="N103" s="73">
        <f>'Cash Flow - FY'!H103</f>
        <v>0</v>
      </c>
      <c r="O103" s="67">
        <v>0</v>
      </c>
      <c r="P103" s="86">
        <v>0</v>
      </c>
      <c r="Q103" s="86">
        <v>0</v>
      </c>
      <c r="R103" s="73">
        <f>'Cash Flow - FY'!I103</f>
        <v>0</v>
      </c>
      <c r="S103" s="67">
        <v>0</v>
      </c>
      <c r="T103" s="86">
        <v>0</v>
      </c>
      <c r="U103" s="86">
        <v>0</v>
      </c>
      <c r="V103" s="73">
        <f>'Cash Flow - FY'!J103</f>
        <v>0</v>
      </c>
      <c r="W103" s="67">
        <v>0</v>
      </c>
      <c r="X103" s="228">
        <v>0</v>
      </c>
      <c r="Y103" s="228">
        <v>0</v>
      </c>
      <c r="Z103" s="73">
        <f>'Cash Flow - FY'!K103</f>
        <v>0</v>
      </c>
      <c r="AA103" s="67">
        <v>0</v>
      </c>
      <c r="AB103" s="67">
        <v>0</v>
      </c>
      <c r="AC103" s="228">
        <v>0</v>
      </c>
      <c r="AD103" s="73">
        <f>'Cash Flow - FY'!L103</f>
        <v>0</v>
      </c>
      <c r="AE103" s="67">
        <v>0</v>
      </c>
      <c r="AF103" s="67">
        <v>0</v>
      </c>
      <c r="AG103" s="67">
        <v>0</v>
      </c>
    </row>
    <row r="104" spans="1:33" hidden="1" outlineLevel="1" x14ac:dyDescent="0.2">
      <c r="A104" s="134" t="s">
        <v>109</v>
      </c>
      <c r="B104" s="143"/>
      <c r="C104" s="67">
        <v>179.79</v>
      </c>
      <c r="D104" s="67">
        <v>-64.781999999999996</v>
      </c>
      <c r="E104" s="67">
        <v>-22.821312000000006</v>
      </c>
      <c r="F104" s="73">
        <f>'Cash Flow - FY'!F104</f>
        <v>-345.96600000000001</v>
      </c>
      <c r="G104" s="67">
        <v>-459.51799999999997</v>
      </c>
      <c r="H104" s="67">
        <v>-1686.787</v>
      </c>
      <c r="I104" s="67">
        <v>-1695.2829999999999</v>
      </c>
      <c r="J104" s="73">
        <f>'Cash Flow - FY'!G104</f>
        <v>-2060.3040000000001</v>
      </c>
      <c r="K104" s="67">
        <v>137.62799999999999</v>
      </c>
      <c r="L104" s="67">
        <v>283.18200000000002</v>
      </c>
      <c r="M104" s="67">
        <v>393.36599999999999</v>
      </c>
      <c r="N104" s="73">
        <f>'Cash Flow - FY'!H104</f>
        <v>168.952</v>
      </c>
      <c r="O104" s="67">
        <v>328.166</v>
      </c>
      <c r="P104" s="86">
        <v>175.77600000000001</v>
      </c>
      <c r="Q104" s="86">
        <v>253.476</v>
      </c>
      <c r="R104" s="73">
        <f>'Cash Flow - FY'!I104</f>
        <v>0</v>
      </c>
      <c r="S104" s="67">
        <v>0</v>
      </c>
      <c r="T104" s="86">
        <v>0</v>
      </c>
      <c r="U104" s="228">
        <v>0</v>
      </c>
      <c r="V104" s="73">
        <f>'Cash Flow - FY'!J104</f>
        <v>0</v>
      </c>
      <c r="W104" s="67">
        <v>0</v>
      </c>
      <c r="X104" s="228">
        <v>0</v>
      </c>
      <c r="Y104" s="228">
        <v>0</v>
      </c>
      <c r="Z104" s="73">
        <f>'Cash Flow - FY'!K104</f>
        <v>0</v>
      </c>
      <c r="AA104" s="67">
        <v>0</v>
      </c>
      <c r="AB104" s="67">
        <v>0</v>
      </c>
      <c r="AC104" s="228">
        <v>0</v>
      </c>
      <c r="AD104" s="73">
        <f>'Cash Flow - FY'!L104</f>
        <v>0</v>
      </c>
      <c r="AE104" s="67">
        <v>0</v>
      </c>
      <c r="AF104" s="67">
        <v>0</v>
      </c>
      <c r="AG104" s="67">
        <v>0</v>
      </c>
    </row>
    <row r="105" spans="1:33" hidden="1" outlineLevel="1" x14ac:dyDescent="0.2">
      <c r="A105" s="134" t="s">
        <v>258</v>
      </c>
      <c r="B105" s="143"/>
      <c r="C105" s="67">
        <v>94.91</v>
      </c>
      <c r="D105" s="67">
        <v>116.48399999999999</v>
      </c>
      <c r="E105" s="67">
        <v>-12.978999999999999</v>
      </c>
      <c r="F105" s="73">
        <f>'Cash Flow - FY'!F105</f>
        <v>-44.332000000000001</v>
      </c>
      <c r="G105" s="67">
        <v>219.85499999999999</v>
      </c>
      <c r="H105" s="67">
        <v>0.96399999999999997</v>
      </c>
      <c r="I105" s="67">
        <v>223.84399999999999</v>
      </c>
      <c r="J105" s="73">
        <f>'Cash Flow - FY'!G105</f>
        <v>218.03700000000001</v>
      </c>
      <c r="K105" s="67">
        <v>89.460999999999999</v>
      </c>
      <c r="L105" s="67">
        <v>-57.250999999999998</v>
      </c>
      <c r="M105" s="67">
        <v>-86.813999999999993</v>
      </c>
      <c r="N105" s="73">
        <f>'Cash Flow - FY'!H105</f>
        <v>-31.760999999999999</v>
      </c>
      <c r="O105" s="67">
        <v>18.765000000000001</v>
      </c>
      <c r="P105" s="86">
        <v>-4.7140000000000004</v>
      </c>
      <c r="Q105" s="86">
        <v>-15.804</v>
      </c>
      <c r="R105" s="73">
        <f>'Cash Flow - FY'!I105</f>
        <v>-41.715000000000003</v>
      </c>
      <c r="S105" s="67">
        <v>-157.62700000000001</v>
      </c>
      <c r="T105" s="86">
        <v>-154.63200000000001</v>
      </c>
      <c r="U105" s="86">
        <v>-164.56</v>
      </c>
      <c r="V105" s="73">
        <f>'Cash Flow - FY'!J105</f>
        <v>-192.666</v>
      </c>
      <c r="W105" s="67">
        <v>18.271999999999998</v>
      </c>
      <c r="X105" s="228">
        <v>30.658000000000001</v>
      </c>
      <c r="Y105" s="228">
        <v>11.683</v>
      </c>
      <c r="Z105" s="73">
        <f>'Cash Flow - FY'!K105</f>
        <v>-21.079000000000001</v>
      </c>
      <c r="AA105" s="67">
        <v>-4.4420000000000002</v>
      </c>
      <c r="AB105" s="228">
        <v>-40.124000000000002</v>
      </c>
      <c r="AC105" s="228">
        <v>-104.98699999999999</v>
      </c>
      <c r="AD105" s="73">
        <f>'Cash Flow - FY'!L105</f>
        <v>-141.76063800000003</v>
      </c>
      <c r="AE105" s="67">
        <v>229.494</v>
      </c>
      <c r="AF105" s="228">
        <v>220.654</v>
      </c>
      <c r="AG105" s="228">
        <v>201.72499400000001</v>
      </c>
    </row>
    <row r="106" spans="1:33" hidden="1" outlineLevel="1" x14ac:dyDescent="0.2">
      <c r="A106" s="134" t="s">
        <v>114</v>
      </c>
      <c r="B106" s="143"/>
      <c r="C106" s="67">
        <v>-133.76499999999999</v>
      </c>
      <c r="D106" s="67">
        <v>-159.44499999999999</v>
      </c>
      <c r="E106" s="67">
        <v>-351.56599999999997</v>
      </c>
      <c r="F106" s="73">
        <f>'Cash Flow - FY'!F106</f>
        <v>-321.85300000000001</v>
      </c>
      <c r="G106" s="67">
        <v>-76.962999999999994</v>
      </c>
      <c r="H106" s="67">
        <v>-181.63900000000001</v>
      </c>
      <c r="I106" s="67">
        <v>-289.94799999999998</v>
      </c>
      <c r="J106" s="73">
        <f>'Cash Flow - FY'!G106</f>
        <v>-280.83199999999999</v>
      </c>
      <c r="K106" s="67">
        <v>-82.724999999999994</v>
      </c>
      <c r="L106" s="67">
        <v>-134.27000000000001</v>
      </c>
      <c r="M106" s="67">
        <v>-148.16300000000001</v>
      </c>
      <c r="N106" s="73">
        <f>'Cash Flow - FY'!H106</f>
        <v>-168.40600000000001</v>
      </c>
      <c r="O106" s="67">
        <v>-59.420999999999999</v>
      </c>
      <c r="P106" s="86">
        <v>-52.6</v>
      </c>
      <c r="Q106" s="86">
        <v>-135.709</v>
      </c>
      <c r="R106" s="73">
        <f>'Cash Flow - FY'!I106</f>
        <v>-85.537000000000006</v>
      </c>
      <c r="S106" s="67">
        <v>-40.502000000000002</v>
      </c>
      <c r="T106" s="86">
        <v>-64.239999999999995</v>
      </c>
      <c r="U106" s="86">
        <v>-82.75</v>
      </c>
      <c r="V106" s="73">
        <f>'Cash Flow - FY'!J106</f>
        <v>-38.503999999999998</v>
      </c>
      <c r="W106" s="67">
        <v>-24.036999999999999</v>
      </c>
      <c r="X106" s="228">
        <v>-49.972999999999999</v>
      </c>
      <c r="Y106" s="228">
        <v>-81.302999999999997</v>
      </c>
      <c r="Z106" s="73">
        <f>'Cash Flow - FY'!K106</f>
        <v>-115.071</v>
      </c>
      <c r="AA106" s="67">
        <v>27.597000000000001</v>
      </c>
      <c r="AB106" s="228">
        <v>3.4540000000000002</v>
      </c>
      <c r="AC106" s="228">
        <v>-93.194999999999993</v>
      </c>
      <c r="AD106" s="73">
        <f>'Cash Flow - FY'!L106</f>
        <v>-173.26081536742143</v>
      </c>
      <c r="AE106" s="67">
        <v>-50.331000000000003</v>
      </c>
      <c r="AF106" s="228">
        <v>-135.06399999999999</v>
      </c>
      <c r="AG106" s="228">
        <v>-225.12979253579593</v>
      </c>
    </row>
    <row r="107" spans="1:33" hidden="1" outlineLevel="1" x14ac:dyDescent="0.2">
      <c r="A107" s="134" t="s">
        <v>110</v>
      </c>
      <c r="B107" s="143"/>
      <c r="C107" s="67">
        <v>0</v>
      </c>
      <c r="D107" s="67">
        <v>0</v>
      </c>
      <c r="E107" s="67">
        <v>-2.2829999999999999</v>
      </c>
      <c r="F107" s="73">
        <f>'Cash Flow - FY'!F107</f>
        <v>-2.0529999999999999</v>
      </c>
      <c r="G107" s="67">
        <v>0</v>
      </c>
      <c r="H107" s="67">
        <v>0</v>
      </c>
      <c r="I107" s="67">
        <v>-12.742000000000001</v>
      </c>
      <c r="J107" s="73">
        <f>'Cash Flow - FY'!G107</f>
        <v>-12.742000000000001</v>
      </c>
      <c r="K107" s="67">
        <v>0</v>
      </c>
      <c r="L107" s="67">
        <v>0</v>
      </c>
      <c r="M107" s="67">
        <v>-8.3659999999999997</v>
      </c>
      <c r="N107" s="73">
        <f>'Cash Flow - FY'!H107</f>
        <v>-8.3659999999999997</v>
      </c>
      <c r="O107" s="67">
        <v>0</v>
      </c>
      <c r="P107" s="86">
        <v>-185.84899999999999</v>
      </c>
      <c r="Q107" s="86">
        <v>-185.75</v>
      </c>
      <c r="R107" s="73">
        <f>'Cash Flow - FY'!I107</f>
        <v>-185.768</v>
      </c>
      <c r="S107" s="67">
        <v>0</v>
      </c>
      <c r="T107" s="86">
        <v>0</v>
      </c>
      <c r="U107" s="86">
        <v>0</v>
      </c>
      <c r="V107" s="73">
        <f>'Cash Flow - FY'!J107</f>
        <v>0</v>
      </c>
      <c r="W107" s="67">
        <v>0</v>
      </c>
      <c r="X107" s="228">
        <v>-79.337000000000003</v>
      </c>
      <c r="Y107" s="228">
        <v>-79.786000000000001</v>
      </c>
      <c r="Z107" s="73">
        <f>'Cash Flow - FY'!K107</f>
        <v>-79.935000000000002</v>
      </c>
      <c r="AA107" s="67">
        <v>0</v>
      </c>
      <c r="AB107" s="228">
        <v>-184.303</v>
      </c>
      <c r="AC107" s="228">
        <v>-184.78399999999999</v>
      </c>
      <c r="AD107" s="73">
        <f>'Cash Flow - FY'!L107</f>
        <v>-185.39500000000001</v>
      </c>
      <c r="AE107" s="67">
        <v>0</v>
      </c>
      <c r="AF107" s="228">
        <v>-3.8540000000000001</v>
      </c>
      <c r="AG107" s="228">
        <v>-221.4</v>
      </c>
    </row>
    <row r="108" spans="1:33" hidden="1" outlineLevel="1" x14ac:dyDescent="0.2">
      <c r="A108" s="134" t="s">
        <v>357</v>
      </c>
      <c r="B108" s="143"/>
      <c r="C108" s="67">
        <v>0</v>
      </c>
      <c r="D108" s="67">
        <v>0</v>
      </c>
      <c r="E108" s="67">
        <v>0</v>
      </c>
      <c r="F108" s="73">
        <f>'Cash Flow - FY'!F108</f>
        <v>0</v>
      </c>
      <c r="G108" s="67">
        <v>0</v>
      </c>
      <c r="H108" s="67">
        <v>0</v>
      </c>
      <c r="I108" s="67">
        <v>0</v>
      </c>
      <c r="J108" s="73">
        <f>'Cash Flow - FY'!G108</f>
        <v>0</v>
      </c>
      <c r="K108" s="67">
        <v>0</v>
      </c>
      <c r="L108" s="67">
        <v>0</v>
      </c>
      <c r="M108" s="67">
        <v>0</v>
      </c>
      <c r="N108" s="73">
        <f>'Cash Flow - FY'!H108</f>
        <v>0</v>
      </c>
      <c r="O108" s="67">
        <v>-22.672999999999998</v>
      </c>
      <c r="P108" s="86">
        <v>-53.308</v>
      </c>
      <c r="Q108" s="86">
        <v>-76.951999999999998</v>
      </c>
      <c r="R108" s="73">
        <f>'Cash Flow - FY'!I108</f>
        <v>-101.157</v>
      </c>
      <c r="S108" s="67">
        <v>-25.266999999999999</v>
      </c>
      <c r="T108" s="86">
        <v>-43.206000000000003</v>
      </c>
      <c r="U108" s="86">
        <v>-75.224000000000004</v>
      </c>
      <c r="V108" s="73">
        <f>'Cash Flow - FY'!J108</f>
        <v>-99.924000000000007</v>
      </c>
      <c r="W108" s="67">
        <v>-24.93</v>
      </c>
      <c r="X108" s="228">
        <v>-50.642000000000003</v>
      </c>
      <c r="Y108" s="228">
        <v>-80.176000000000002</v>
      </c>
      <c r="Z108" s="73">
        <f>'Cash Flow - FY'!K108</f>
        <v>-105.355</v>
      </c>
      <c r="AA108" s="67">
        <v>-27.045000000000002</v>
      </c>
      <c r="AB108" s="228">
        <v>-58.99</v>
      </c>
      <c r="AC108" s="228">
        <v>-88.037000000000006</v>
      </c>
      <c r="AD108" s="73">
        <f>'Cash Flow - FY'!L108</f>
        <v>-114.5125238039858</v>
      </c>
      <c r="AE108" s="67">
        <v>-30.148</v>
      </c>
      <c r="AF108" s="228">
        <v>-60.503999999999998</v>
      </c>
      <c r="AG108" s="228">
        <v>-90.500162268633503</v>
      </c>
    </row>
    <row r="109" spans="1:33" hidden="1" outlineLevel="1" x14ac:dyDescent="0.2">
      <c r="A109" s="134" t="s">
        <v>311</v>
      </c>
      <c r="B109" s="143"/>
      <c r="C109" s="67">
        <v>0</v>
      </c>
      <c r="D109" s="67">
        <v>0</v>
      </c>
      <c r="E109" s="67">
        <v>0</v>
      </c>
      <c r="F109" s="73">
        <f>'Cash Flow - FY'!F109</f>
        <v>0</v>
      </c>
      <c r="G109" s="67">
        <v>0</v>
      </c>
      <c r="H109" s="67">
        <v>0</v>
      </c>
      <c r="I109" s="67">
        <v>0</v>
      </c>
      <c r="J109" s="73">
        <f>'Cash Flow - FY'!G109</f>
        <v>0</v>
      </c>
      <c r="K109" s="67">
        <v>0</v>
      </c>
      <c r="L109" s="67">
        <v>4.5</v>
      </c>
      <c r="M109" s="67">
        <v>4.5</v>
      </c>
      <c r="N109" s="73">
        <f>'Cash Flow - FY'!H109</f>
        <v>4.5</v>
      </c>
      <c r="O109" s="67">
        <v>0</v>
      </c>
      <c r="P109" s="86">
        <v>0</v>
      </c>
      <c r="Q109" s="86">
        <v>0</v>
      </c>
      <c r="R109" s="73">
        <f>'Cash Flow - FY'!I109</f>
        <v>0</v>
      </c>
      <c r="S109" s="67">
        <v>0</v>
      </c>
      <c r="T109" s="86">
        <v>0</v>
      </c>
      <c r="U109" s="86">
        <v>0</v>
      </c>
      <c r="V109" s="73">
        <f>'Cash Flow - FY'!J109</f>
        <v>0</v>
      </c>
      <c r="W109" s="67">
        <v>0</v>
      </c>
      <c r="X109" s="228">
        <v>0</v>
      </c>
      <c r="Y109" s="228">
        <v>0</v>
      </c>
      <c r="Z109" s="73">
        <f>'Cash Flow - FY'!K109</f>
        <v>0</v>
      </c>
      <c r="AA109" s="67">
        <v>0</v>
      </c>
      <c r="AB109" s="67">
        <v>0</v>
      </c>
      <c r="AC109" s="228">
        <v>0</v>
      </c>
      <c r="AD109" s="73">
        <f>'Cash Flow - FY'!L109</f>
        <v>0</v>
      </c>
      <c r="AE109" s="67">
        <v>0</v>
      </c>
      <c r="AF109" s="67">
        <v>0</v>
      </c>
      <c r="AG109" s="67">
        <v>0</v>
      </c>
    </row>
    <row r="110" spans="1:33" s="22" customFormat="1" collapsed="1" x14ac:dyDescent="0.2">
      <c r="A110" s="126" t="s">
        <v>115</v>
      </c>
      <c r="B110" s="154"/>
      <c r="C110" s="76">
        <f t="shared" ref="C110:N110" si="35">IFERROR(C102+C103+C104+C105+C106+C107+C108+C109,"n.a.")</f>
        <v>140.935</v>
      </c>
      <c r="D110" s="76">
        <f t="shared" si="35"/>
        <v>-107.74299999999999</v>
      </c>
      <c r="E110" s="76">
        <f t="shared" si="35"/>
        <v>-389.64931200000001</v>
      </c>
      <c r="F110" s="76">
        <f t="shared" si="35"/>
        <v>-714.20400000000006</v>
      </c>
      <c r="G110" s="76">
        <f t="shared" si="35"/>
        <v>-316.62599999999998</v>
      </c>
      <c r="H110" s="76">
        <f t="shared" si="35"/>
        <v>-427.08700000000005</v>
      </c>
      <c r="I110" s="76">
        <f t="shared" si="35"/>
        <v>-584.75399999999991</v>
      </c>
      <c r="J110" s="76">
        <f t="shared" si="35"/>
        <v>-946.46600000000001</v>
      </c>
      <c r="K110" s="76">
        <f t="shared" si="35"/>
        <v>144.364</v>
      </c>
      <c r="L110" s="76">
        <f t="shared" si="35"/>
        <v>96.161000000000001</v>
      </c>
      <c r="M110" s="76">
        <f t="shared" si="35"/>
        <v>154.52300000000002</v>
      </c>
      <c r="N110" s="76">
        <f t="shared" si="35"/>
        <v>-35.081000000000003</v>
      </c>
      <c r="O110" s="76">
        <f>IFERROR(O102+O103+O104+O105+O106+O107+O108+O109,"n.a.")</f>
        <v>264.83699999999999</v>
      </c>
      <c r="P110" s="76">
        <f>IFERROR(P102+P103+P104+P105+P106+P107+P108+P109,"n.a.")</f>
        <v>-120.69499999999996</v>
      </c>
      <c r="Q110" s="76">
        <f>IFERROR(Q102+Q103+Q104+Q105+Q106+Q107+Q108+Q109,"n.a.")</f>
        <v>-160.739</v>
      </c>
      <c r="R110" s="76">
        <f t="shared" ref="R110:X110" si="36">IFERROR(R100+R101+R102+R103+R104+R105+R106+R107+R108+R109,"n.a.")</f>
        <v>-331.06099999999981</v>
      </c>
      <c r="S110" s="76">
        <f t="shared" si="36"/>
        <v>-6.1699999999999555</v>
      </c>
      <c r="T110" s="76">
        <f t="shared" si="36"/>
        <v>626.89400000000012</v>
      </c>
      <c r="U110" s="76">
        <f t="shared" si="36"/>
        <v>318.59900000000005</v>
      </c>
      <c r="V110" s="76">
        <f t="shared" si="36"/>
        <v>439.3979999999998</v>
      </c>
      <c r="W110" s="76">
        <f t="shared" si="36"/>
        <v>-963.98299999999983</v>
      </c>
      <c r="X110" s="76">
        <f t="shared" si="36"/>
        <v>-1150.992</v>
      </c>
      <c r="Y110" s="76">
        <f t="shared" ref="Y110:AG110" si="37">IFERROR(Y100+Y101+Y102+Y103+Y104+Y105+Y106+Y107+Y108+Y109,"n.a.")</f>
        <v>-1304.7350000000001</v>
      </c>
      <c r="Z110" s="76">
        <f t="shared" si="37"/>
        <v>-1084.6460000000002</v>
      </c>
      <c r="AA110" s="76">
        <f t="shared" si="37"/>
        <v>-454.40600000000001</v>
      </c>
      <c r="AB110" s="76">
        <f t="shared" si="37"/>
        <v>-738.78899999999999</v>
      </c>
      <c r="AC110" s="76">
        <f t="shared" si="37"/>
        <v>-492.76599999999996</v>
      </c>
      <c r="AD110" s="76">
        <f t="shared" si="37"/>
        <v>-1404.6919428556666</v>
      </c>
      <c r="AE110" s="76">
        <f t="shared" si="37"/>
        <v>511.62799999999993</v>
      </c>
      <c r="AF110" s="76">
        <f t="shared" si="37"/>
        <v>304.20499999999998</v>
      </c>
      <c r="AG110" s="76">
        <f t="shared" si="37"/>
        <v>-546.24410599358032</v>
      </c>
    </row>
    <row r="111" spans="1:33" x14ac:dyDescent="0.2">
      <c r="A111" s="139"/>
      <c r="B111" s="55"/>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row>
    <row r="112" spans="1:33" s="22" customFormat="1" hidden="1" outlineLevel="2" x14ac:dyDescent="0.2">
      <c r="A112" s="131" t="s">
        <v>116</v>
      </c>
      <c r="B112" s="142"/>
      <c r="C112" s="41">
        <v>-53.884999999999998</v>
      </c>
      <c r="D112" s="41">
        <v>0</v>
      </c>
      <c r="E112" s="41">
        <v>71.336312000000007</v>
      </c>
      <c r="F112" s="52">
        <f>'Cash Flow - FY'!F112</f>
        <v>29.869</v>
      </c>
      <c r="G112" s="41">
        <v>-145.69</v>
      </c>
      <c r="H112" s="41">
        <v>0</v>
      </c>
      <c r="I112" s="41">
        <v>-74.596999999999994</v>
      </c>
      <c r="J112" s="52">
        <f>'Cash Flow - FY'!G112</f>
        <v>-135.59700000000001</v>
      </c>
      <c r="K112" s="41">
        <v>-22.675000000000001</v>
      </c>
      <c r="L112" s="41">
        <v>-5.3419999999999996</v>
      </c>
      <c r="M112" s="86">
        <v>15.108000000000001</v>
      </c>
      <c r="N112" s="52">
        <f>'Cash Flow - FY'!H112</f>
        <v>37.100999999999999</v>
      </c>
      <c r="O112" s="41">
        <v>0</v>
      </c>
      <c r="P112" s="41">
        <v>0</v>
      </c>
      <c r="Q112" s="41">
        <v>0</v>
      </c>
      <c r="R112" s="52">
        <f>'Cash Flow - FY'!I112</f>
        <v>0</v>
      </c>
      <c r="S112" s="41">
        <v>0</v>
      </c>
      <c r="T112" s="41">
        <v>0</v>
      </c>
      <c r="U112" s="41">
        <v>0</v>
      </c>
      <c r="V112" s="52">
        <f>'Cash Flow - FY'!J112</f>
        <v>0</v>
      </c>
      <c r="W112" s="41">
        <v>0</v>
      </c>
      <c r="X112" s="41">
        <v>0</v>
      </c>
      <c r="Y112" s="41">
        <v>0</v>
      </c>
      <c r="Z112" s="52">
        <f>'Cash Flow - FY'!K112</f>
        <v>0</v>
      </c>
      <c r="AA112" s="41">
        <v>0</v>
      </c>
      <c r="AB112" s="41">
        <v>0</v>
      </c>
      <c r="AC112" s="41">
        <v>0</v>
      </c>
      <c r="AD112" s="52">
        <f>'Cash Flow - FY'!L112</f>
        <v>0</v>
      </c>
      <c r="AE112" s="41">
        <v>0</v>
      </c>
      <c r="AF112" s="41">
        <v>0</v>
      </c>
      <c r="AG112" s="41">
        <v>0</v>
      </c>
    </row>
    <row r="113" spans="1:33" s="22" customFormat="1" collapsed="1" x14ac:dyDescent="0.2">
      <c r="A113" s="122" t="s">
        <v>117</v>
      </c>
      <c r="B113" s="149"/>
      <c r="C113" s="102">
        <f t="shared" ref="C113:V113" si="38">IFERROR(C75+C98+C110+C112,"n.a.")</f>
        <v>-435.50799999999987</v>
      </c>
      <c r="D113" s="102">
        <f t="shared" si="38"/>
        <v>-435.29699999999997</v>
      </c>
      <c r="E113" s="102">
        <f t="shared" si="38"/>
        <v>-504.4860000000001</v>
      </c>
      <c r="F113" s="102">
        <f t="shared" si="38"/>
        <v>516.2940000000001</v>
      </c>
      <c r="G113" s="102">
        <f t="shared" si="38"/>
        <v>-1109.827</v>
      </c>
      <c r="H113" s="102">
        <f t="shared" si="38"/>
        <v>-905.38900000000012</v>
      </c>
      <c r="I113" s="102">
        <f t="shared" si="38"/>
        <v>-1111.2356279840139</v>
      </c>
      <c r="J113" s="102">
        <f t="shared" si="38"/>
        <v>-342.79008642764995</v>
      </c>
      <c r="K113" s="102">
        <f t="shared" si="38"/>
        <v>-509.18999999999988</v>
      </c>
      <c r="L113" s="102">
        <f t="shared" si="38"/>
        <v>-483.06599999999997</v>
      </c>
      <c r="M113" s="102">
        <f t="shared" si="38"/>
        <v>-487.40000000000015</v>
      </c>
      <c r="N113" s="102">
        <f t="shared" si="38"/>
        <v>250.19299999999976</v>
      </c>
      <c r="O113" s="102">
        <f t="shared" si="38"/>
        <v>-365.60299999999995</v>
      </c>
      <c r="P113" s="102">
        <f t="shared" si="38"/>
        <v>-579.32500000000005</v>
      </c>
      <c r="Q113" s="102">
        <f t="shared" si="38"/>
        <v>-527.10700000000031</v>
      </c>
      <c r="R113" s="102">
        <f t="shared" si="38"/>
        <v>315.86600000000055</v>
      </c>
      <c r="S113" s="102">
        <f t="shared" si="38"/>
        <v>-768.351</v>
      </c>
      <c r="T113" s="102">
        <f t="shared" si="38"/>
        <v>-68.578999999999837</v>
      </c>
      <c r="U113" s="102">
        <f t="shared" si="38"/>
        <v>-358.95699999999999</v>
      </c>
      <c r="V113" s="102">
        <f t="shared" si="38"/>
        <v>806.06899999999973</v>
      </c>
      <c r="W113" s="102">
        <f>IFERROR(W75+W98+W110+W112+0.001,"n.a.")</f>
        <v>-1560.0649999999998</v>
      </c>
      <c r="X113" s="102">
        <f>IFERROR(X75+X98+X110+X112,"n.a.")</f>
        <v>-1501.2360000000001</v>
      </c>
      <c r="Y113" s="102">
        <f>IFERROR(Y75+Y98+Y110+Y112,"n.a.")</f>
        <v>-1520.2449999999999</v>
      </c>
      <c r="Z113" s="102">
        <f>IFERROR(Z75+Z98+Z110+Z112,"n.a.")</f>
        <v>-421.96300000000042</v>
      </c>
      <c r="AA113" s="102">
        <f>IFERROR(AA75+AA98+AA110+AA112,"n.a.")</f>
        <v>-1063.2640000000001</v>
      </c>
      <c r="AB113" s="102">
        <f>IFERROR(AB75+AB98+AB110+AB112,"n.a.")</f>
        <v>-1032.3360000000002</v>
      </c>
      <c r="AC113" s="102">
        <f>IFERROR(AC75+AC98+AC110+AC112-0.1,"n.a.")</f>
        <v>-610.6389999999999</v>
      </c>
      <c r="AD113" s="102">
        <f>IFERROR(AD75+AD98+AD110+AD112,"n.a.")</f>
        <v>-599.77080367725773</v>
      </c>
      <c r="AE113" s="102">
        <f>IFERROR(AE75+AE98+AE110+AE112,"n.a.")</f>
        <v>-91.647999999999911</v>
      </c>
      <c r="AF113" s="102">
        <f>IFERROR(AF75+AF98+AF110+AF112,"n.a.")</f>
        <v>-14.835500000000081</v>
      </c>
      <c r="AG113" s="102">
        <f>IFERROR(AG75+AG98+AG110+AG112,"n.a.")</f>
        <v>-627.26807781222556</v>
      </c>
    </row>
    <row r="114" spans="1:33" x14ac:dyDescent="0.2">
      <c r="A114" s="139"/>
      <c r="B114" s="55"/>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row>
    <row r="115" spans="1:33" s="22" customFormat="1" x14ac:dyDescent="0.2">
      <c r="A115" s="187" t="s">
        <v>266</v>
      </c>
      <c r="B115" s="142"/>
      <c r="C115" s="86">
        <v>1067.1579999999999</v>
      </c>
      <c r="D115" s="86">
        <v>817.76700000000005</v>
      </c>
      <c r="E115" s="86">
        <v>1094.4570000000001</v>
      </c>
      <c r="F115" s="115">
        <f>'Cash Flow - FY'!F115</f>
        <v>1094.4570000000001</v>
      </c>
      <c r="G115" s="81">
        <f>F118</f>
        <v>1523.9280000000001</v>
      </c>
      <c r="H115" s="86">
        <v>1397.38</v>
      </c>
      <c r="I115" s="81">
        <f>F118</f>
        <v>1523.9280000000001</v>
      </c>
      <c r="J115" s="115">
        <f>'Cash Flow - FY'!G115</f>
        <v>1523.9280000000001</v>
      </c>
      <c r="K115" s="81">
        <f>J118</f>
        <v>1109.6549135723501</v>
      </c>
      <c r="L115" s="81">
        <f>J118</f>
        <v>1109.6549135723501</v>
      </c>
      <c r="M115" s="81">
        <f>J118</f>
        <v>1109.6549135723501</v>
      </c>
      <c r="N115" s="115">
        <f>'Cash Flow - FY'!H115</f>
        <v>1109.63991357235</v>
      </c>
      <c r="O115" s="81">
        <f>N118-0.05</f>
        <v>1303.8369135723499</v>
      </c>
      <c r="P115" s="81">
        <f>N118-0.05</f>
        <v>1303.8369135723499</v>
      </c>
      <c r="Q115" s="81">
        <f>N118-0.05</f>
        <v>1303.8369135723499</v>
      </c>
      <c r="R115" s="115">
        <f>'Cash Flow - FY'!I115</f>
        <v>1303.8519135723498</v>
      </c>
      <c r="S115" s="81">
        <f>R118-0.013</f>
        <v>1600.6129135723504</v>
      </c>
      <c r="T115" s="81">
        <f>R118+0.002</f>
        <v>1600.6279135723503</v>
      </c>
      <c r="U115" s="81">
        <f>R118+0.002</f>
        <v>1600.6279135723503</v>
      </c>
      <c r="V115" s="115">
        <f>'Cash Flow - FY'!J115</f>
        <v>1600.6259135723503</v>
      </c>
      <c r="W115" s="81">
        <f>V118</f>
        <v>2269.6829135723501</v>
      </c>
      <c r="X115" s="81">
        <f>V118</f>
        <v>2269.6829135723501</v>
      </c>
      <c r="Y115" s="81">
        <f>V118</f>
        <v>2269.6829135723501</v>
      </c>
      <c r="Z115" s="229">
        <f>'Cash Flow - FY'!K115</f>
        <v>2269.6829135723501</v>
      </c>
      <c r="AA115" s="81">
        <f>Z118</f>
        <v>1883.5439135723498</v>
      </c>
      <c r="AB115" s="81">
        <f>Z118</f>
        <v>1883.5439135723498</v>
      </c>
      <c r="AC115" s="81">
        <f>Z118</f>
        <v>1883.5439135723498</v>
      </c>
      <c r="AD115" s="229">
        <f>'Cash Flow - FY'!L115</f>
        <v>1883.5439135723498</v>
      </c>
      <c r="AE115" s="81">
        <f>AD118</f>
        <v>1283.2820408950922</v>
      </c>
      <c r="AF115" s="81">
        <f>AD118</f>
        <v>1283.2820408950922</v>
      </c>
      <c r="AG115" s="81">
        <f>+AD118</f>
        <v>1283.2820408950922</v>
      </c>
    </row>
    <row r="116" spans="1:33" x14ac:dyDescent="0.2">
      <c r="A116" s="133" t="s">
        <v>11</v>
      </c>
      <c r="B116" s="143"/>
      <c r="C116" s="67">
        <v>-25.443999999999999</v>
      </c>
      <c r="D116" s="67">
        <v>-7.3360000000000003</v>
      </c>
      <c r="E116" s="67">
        <v>-23.619</v>
      </c>
      <c r="F116" s="73">
        <f>'Cash Flow - FY'!F116</f>
        <v>-86.822999999999993</v>
      </c>
      <c r="G116" s="67">
        <v>2.839</v>
      </c>
      <c r="H116" s="67">
        <v>-49.118000000000002</v>
      </c>
      <c r="I116" s="67">
        <v>-50.427</v>
      </c>
      <c r="J116" s="73">
        <f>'Cash Flow - FY'!G116</f>
        <v>-71.483000000000004</v>
      </c>
      <c r="K116" s="67">
        <v>-12.413</v>
      </c>
      <c r="L116" s="67">
        <v>-45.932000000000002</v>
      </c>
      <c r="M116" s="67">
        <v>-72.896000000000001</v>
      </c>
      <c r="N116" s="73">
        <f>'Cash Flow - FY'!H116</f>
        <v>-55.945999999999998</v>
      </c>
      <c r="O116" s="67">
        <v>9.2110000000000003</v>
      </c>
      <c r="P116" s="67">
        <v>4.3769999999999998</v>
      </c>
      <c r="Q116" s="67">
        <v>-11.691000000000001</v>
      </c>
      <c r="R116" s="73">
        <f>'Cash Flow - FY'!I116</f>
        <v>-19.091999999999999</v>
      </c>
      <c r="S116" s="67">
        <v>-53.97</v>
      </c>
      <c r="T116" s="67">
        <v>-94.54</v>
      </c>
      <c r="U116" s="67">
        <v>-127.03100000000001</v>
      </c>
      <c r="V116" s="73">
        <f>'Cash Flow - FY'!J116</f>
        <v>-137.01300000000001</v>
      </c>
      <c r="W116" s="67">
        <v>1.2350000000000001</v>
      </c>
      <c r="X116" s="67">
        <v>14.361000000000001</v>
      </c>
      <c r="Y116" s="67">
        <v>20.561</v>
      </c>
      <c r="Z116" s="73">
        <f>'Cash Flow - FY'!K116</f>
        <v>35.823999999999998</v>
      </c>
      <c r="AA116" s="67">
        <v>18.670999999999999</v>
      </c>
      <c r="AB116" s="67">
        <v>28.077000000000002</v>
      </c>
      <c r="AC116" s="67">
        <v>34.896999999999998</v>
      </c>
      <c r="AD116" s="73">
        <f>'Cash Flow - FY'!L116</f>
        <v>-0.49106899999999998</v>
      </c>
      <c r="AE116" s="67">
        <v>-4.2629999999999999</v>
      </c>
      <c r="AF116" s="67">
        <v>-21.248999999999999</v>
      </c>
      <c r="AG116" s="67">
        <v>-10.108912999999999</v>
      </c>
    </row>
    <row r="117" spans="1:33" hidden="1" outlineLevel="3" x14ac:dyDescent="0.2">
      <c r="A117" s="133" t="s">
        <v>10</v>
      </c>
      <c r="B117" s="143"/>
      <c r="C117" s="67">
        <v>0</v>
      </c>
      <c r="D117" s="67">
        <v>0</v>
      </c>
      <c r="E117" s="67">
        <v>0</v>
      </c>
      <c r="F117" s="73">
        <f>'Cash Flow - FY'!F117</f>
        <v>0</v>
      </c>
      <c r="G117" s="67">
        <v>0</v>
      </c>
      <c r="H117" s="67">
        <v>0</v>
      </c>
      <c r="I117" s="67">
        <v>0</v>
      </c>
      <c r="J117" s="73">
        <f>'Cash Flow - FY'!G117</f>
        <v>0</v>
      </c>
      <c r="K117" s="67">
        <v>0</v>
      </c>
      <c r="L117" s="67">
        <v>0</v>
      </c>
      <c r="M117" s="67">
        <v>0</v>
      </c>
      <c r="N117" s="73">
        <f>'Cash Flow - FY'!H117</f>
        <v>0</v>
      </c>
      <c r="O117" s="67">
        <v>0</v>
      </c>
      <c r="P117" s="67">
        <v>0</v>
      </c>
      <c r="Q117" s="67">
        <v>0</v>
      </c>
      <c r="R117" s="73">
        <f>'Cash Flow - FY'!I117</f>
        <v>0</v>
      </c>
      <c r="S117" s="67">
        <v>0</v>
      </c>
      <c r="T117" s="67">
        <v>0</v>
      </c>
      <c r="U117" s="67">
        <v>0</v>
      </c>
      <c r="V117" s="73">
        <f>'Cash Flow - FY'!N117</f>
        <v>0</v>
      </c>
      <c r="W117" s="67">
        <v>0</v>
      </c>
      <c r="X117" s="67">
        <v>0</v>
      </c>
      <c r="Y117" s="67">
        <v>0</v>
      </c>
      <c r="Z117" s="73">
        <f>'Cash Flow - FY'!K117</f>
        <v>0</v>
      </c>
      <c r="AA117" s="67">
        <v>0</v>
      </c>
      <c r="AB117" s="67">
        <v>0</v>
      </c>
      <c r="AC117" s="67">
        <v>0</v>
      </c>
      <c r="AD117" s="73">
        <f>'Cash Flow - FY'!O117</f>
        <v>0</v>
      </c>
      <c r="AE117" s="67">
        <v>0</v>
      </c>
      <c r="AF117" s="67">
        <v>0</v>
      </c>
      <c r="AG117" s="67">
        <v>0</v>
      </c>
    </row>
    <row r="118" spans="1:33" collapsed="1" x14ac:dyDescent="0.2">
      <c r="A118" s="122" t="s">
        <v>9</v>
      </c>
      <c r="B118" s="149"/>
      <c r="C118" s="102">
        <f t="shared" ref="C118:M118" si="39">IFERROR(C113+C115+C116+C117,"n.a.")</f>
        <v>606.20600000000013</v>
      </c>
      <c r="D118" s="102">
        <f t="shared" si="39"/>
        <v>375.13400000000007</v>
      </c>
      <c r="E118" s="102">
        <f t="shared" si="39"/>
        <v>566.35199999999998</v>
      </c>
      <c r="F118" s="102">
        <f t="shared" si="39"/>
        <v>1523.9280000000001</v>
      </c>
      <c r="G118" s="102">
        <f t="shared" si="39"/>
        <v>416.94000000000011</v>
      </c>
      <c r="H118" s="102">
        <f t="shared" si="39"/>
        <v>442.87299999999999</v>
      </c>
      <c r="I118" s="102">
        <f t="shared" si="39"/>
        <v>362.26537201598615</v>
      </c>
      <c r="J118" s="102">
        <f t="shared" si="39"/>
        <v>1109.6549135723501</v>
      </c>
      <c r="K118" s="102">
        <f t="shared" si="39"/>
        <v>588.05191357235026</v>
      </c>
      <c r="L118" s="102">
        <f>IFERROR(L113+L115+L116+L117,"n.a.")-0.011</f>
        <v>580.64591357235008</v>
      </c>
      <c r="M118" s="102">
        <f t="shared" si="39"/>
        <v>549.35891357235005</v>
      </c>
      <c r="N118" s="102">
        <f t="shared" ref="N118:S118" si="40">IFERROR(N113+N115+N116+N117,"n.a.")</f>
        <v>1303.8869135723498</v>
      </c>
      <c r="O118" s="102">
        <f t="shared" si="40"/>
        <v>947.44491357234995</v>
      </c>
      <c r="P118" s="102">
        <f t="shared" si="40"/>
        <v>728.88891357234979</v>
      </c>
      <c r="Q118" s="102">
        <f t="shared" si="40"/>
        <v>765.03891357234954</v>
      </c>
      <c r="R118" s="102">
        <f t="shared" si="40"/>
        <v>1600.6259135723503</v>
      </c>
      <c r="S118" s="102">
        <f t="shared" si="40"/>
        <v>778.29191357235038</v>
      </c>
      <c r="T118" s="102">
        <f>IFERROR(T113+T115+T116+T117+0.002,"n.a.")</f>
        <v>1437.5109135723505</v>
      </c>
      <c r="U118" s="102">
        <f>IFERROR(U113+U115+U116+U117,"n.a.")</f>
        <v>1114.6399135723505</v>
      </c>
      <c r="V118" s="102">
        <f>IFERROR(V113+V115+V116+V117+0.001,"n.a.")</f>
        <v>2269.6829135723501</v>
      </c>
      <c r="W118" s="102">
        <f>IFERROR(W113+W115+W116+W117,"n.a.")</f>
        <v>710.8529135723503</v>
      </c>
      <c r="X118" s="102">
        <f>IFERROR(X113+X115+X116+X117,"n.a.")</f>
        <v>782.80791357235</v>
      </c>
      <c r="Y118" s="102">
        <f>IFERROR(Y113+Y115+Y116+Y117,"n.a.")</f>
        <v>769.99891357235026</v>
      </c>
      <c r="Z118" s="102">
        <f>IFERROR(Z113+Z115+Z116+Z117,"n.a.")</f>
        <v>1883.5439135723498</v>
      </c>
      <c r="AA118" s="102">
        <f>IFERROR(AA113+AA115+AA116+AA117,"n.a.")</f>
        <v>838.95091357234969</v>
      </c>
      <c r="AB118" s="102">
        <f>IFERROR(AB113+AB115+AB116+AB117-0.1+0.105,"n.a.")</f>
        <v>879.28991357234952</v>
      </c>
      <c r="AC118" s="102">
        <f>IFERROR(AC113+AC115+AC116+AC117,"n.a.")</f>
        <v>1307.8019135723498</v>
      </c>
      <c r="AD118" s="102">
        <f>IFERROR(AD113+AD115+AD116+AD117,"n.a.")</f>
        <v>1283.2820408950922</v>
      </c>
      <c r="AE118" s="102">
        <f>IFERROR(AE113+AE115+AE116+AE117,"n.a.")</f>
        <v>1187.3710408950924</v>
      </c>
      <c r="AF118" s="102">
        <f>IFERROR(AF113+AF115+AF116+AF117-0.1+0.105,"n.a.")</f>
        <v>1247.2025408950922</v>
      </c>
      <c r="AG118" s="102">
        <f>IFERROR(AG113+AG115+AG116+AG117+0.1,"n.a.")</f>
        <v>646.00505008286666</v>
      </c>
    </row>
    <row r="121" spans="1:33" s="59" customFormat="1" ht="11.25" customHeight="1" x14ac:dyDescent="0.2">
      <c r="A121" s="259" t="s">
        <v>240</v>
      </c>
      <c r="B121" s="259"/>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D121" s="245"/>
    </row>
    <row r="122" spans="1:33" s="59" customFormat="1" ht="11.25" customHeight="1" x14ac:dyDescent="0.2">
      <c r="A122" s="259" t="s">
        <v>293</v>
      </c>
      <c r="B122" s="259"/>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c r="AA122" s="259"/>
      <c r="AB122" s="259"/>
      <c r="AD122" s="245"/>
    </row>
    <row r="123" spans="1:33" s="59" customFormat="1" ht="11.25" customHeight="1" x14ac:dyDescent="0.2">
      <c r="A123" s="259" t="s">
        <v>292</v>
      </c>
      <c r="B123" s="259"/>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59"/>
      <c r="AB123" s="259"/>
      <c r="AD123" s="245"/>
    </row>
  </sheetData>
  <mergeCells count="3">
    <mergeCell ref="A121:AB121"/>
    <mergeCell ref="A123:AB123"/>
    <mergeCell ref="A122:AB122"/>
  </mergeCells>
  <pageMargins left="0" right="0" top="0" bottom="0" header="0" footer="0"/>
  <pageSetup paperSize="9" scale="48" orientation="portrait" r:id="rId1"/>
  <ignoredErrors>
    <ignoredError sqref="D54 H54 N51:N53 F12:F13 N13 J13 F40 L54 L118 V56 T118 X8 Y13 V118 W113 X75 V13 Z12 AA98 AC69 AC72 AC75 AC54 AC15 AC113 AB118 AD12:AD13"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0"/>
  <sheetViews>
    <sheetView showGridLines="0" zoomScale="78" zoomScaleNormal="100" zoomScaleSheetLayoutView="90" workbookViewId="0">
      <pane xSplit="2" ySplit="6" topLeftCell="G7" activePane="bottomRight" state="frozen"/>
      <selection pane="topRight" activeCell="C1" sqref="C1"/>
      <selection pane="bottomLeft" activeCell="A7" sqref="A7"/>
      <selection pane="bottomRight"/>
    </sheetView>
  </sheetViews>
  <sheetFormatPr defaultColWidth="9" defaultRowHeight="12.75" outlineLevelRow="2" outlineLevelCol="1" x14ac:dyDescent="0.2"/>
  <cols>
    <col min="1" max="1" width="50.625" style="2" customWidth="1"/>
    <col min="2" max="2" width="4.625" style="2" customWidth="1"/>
    <col min="3" max="3" width="12.625" style="37" hidden="1" customWidth="1" outlineLevel="1"/>
    <col min="4" max="5" width="12.625" style="37" hidden="1" customWidth="1" outlineLevel="1" collapsed="1"/>
    <col min="6" max="6" width="12.625" style="37" hidden="1" customWidth="1" outlineLevel="1"/>
    <col min="7" max="7" width="12.625" style="37" customWidth="1" collapsed="1"/>
    <col min="8" max="12" width="12.625" style="37" customWidth="1"/>
    <col min="13" max="16384" width="9" style="2"/>
  </cols>
  <sheetData>
    <row r="1" spans="1:19" s="8" customFormat="1" ht="27.75" customHeight="1" x14ac:dyDescent="0.2">
      <c r="A1" s="8" t="s">
        <v>191</v>
      </c>
      <c r="C1" s="9"/>
      <c r="D1" s="9"/>
      <c r="E1" s="9"/>
      <c r="F1" s="9"/>
      <c r="G1" s="9"/>
      <c r="H1" s="9"/>
      <c r="I1" s="9"/>
      <c r="J1" s="9"/>
      <c r="K1" s="9"/>
      <c r="L1" s="9"/>
    </row>
    <row r="2" spans="1:19" x14ac:dyDescent="0.2">
      <c r="A2" s="30" t="s">
        <v>190</v>
      </c>
      <c r="B2" s="30"/>
      <c r="C2" s="180"/>
      <c r="D2" s="180"/>
      <c r="E2" s="180"/>
      <c r="F2" s="180"/>
      <c r="G2" s="180"/>
      <c r="H2" s="180"/>
      <c r="I2" s="180"/>
      <c r="J2" s="180"/>
      <c r="K2" s="180"/>
      <c r="L2" s="180"/>
    </row>
    <row r="4" spans="1:19" s="22" customFormat="1" ht="13.5" thickBot="1" x14ac:dyDescent="0.25">
      <c r="A4" s="11" t="s">
        <v>148</v>
      </c>
      <c r="B4" s="11"/>
      <c r="C4" s="13" t="s">
        <v>24</v>
      </c>
      <c r="D4" s="13" t="s">
        <v>25</v>
      </c>
      <c r="E4" s="13" t="s">
        <v>26</v>
      </c>
      <c r="F4" s="13" t="s">
        <v>26</v>
      </c>
      <c r="G4" s="13" t="s">
        <v>161</v>
      </c>
      <c r="H4" s="13" t="s">
        <v>261</v>
      </c>
      <c r="I4" s="13" t="s">
        <v>303</v>
      </c>
      <c r="J4" s="13" t="s">
        <v>327</v>
      </c>
      <c r="K4" s="13" t="s">
        <v>371</v>
      </c>
      <c r="L4" s="13" t="s">
        <v>383</v>
      </c>
    </row>
    <row r="5" spans="1:19" x14ac:dyDescent="0.2">
      <c r="C5" s="37" t="s">
        <v>176</v>
      </c>
      <c r="D5" s="37" t="s">
        <v>176</v>
      </c>
      <c r="E5" s="37" t="s">
        <v>176</v>
      </c>
      <c r="F5" s="37" t="s">
        <v>189</v>
      </c>
      <c r="G5" s="37" t="s">
        <v>175</v>
      </c>
      <c r="H5" s="37" t="s">
        <v>175</v>
      </c>
      <c r="I5" s="37" t="s">
        <v>175</v>
      </c>
      <c r="J5" s="37" t="s">
        <v>175</v>
      </c>
      <c r="K5" s="37" t="s">
        <v>175</v>
      </c>
      <c r="L5" s="37" t="s">
        <v>175</v>
      </c>
    </row>
    <row r="7" spans="1:19" s="22" customFormat="1" x14ac:dyDescent="0.2">
      <c r="A7" s="99" t="s">
        <v>208</v>
      </c>
      <c r="B7" s="99"/>
      <c r="C7" s="101">
        <v>4479.9049999999997</v>
      </c>
      <c r="D7" s="101">
        <v>4785.3969999999999</v>
      </c>
      <c r="E7" s="101">
        <v>4976.3959999999997</v>
      </c>
      <c r="F7" s="101">
        <v>4976.3959999999997</v>
      </c>
      <c r="G7" s="101">
        <v>5352.2759999999998</v>
      </c>
      <c r="H7" s="101">
        <v>5194.4640000000009</v>
      </c>
      <c r="I7" s="101">
        <v>5323.0529999999999</v>
      </c>
      <c r="J7" s="101">
        <v>4302.1310000000003</v>
      </c>
      <c r="K7" s="101">
        <v>5331.45</v>
      </c>
      <c r="L7" s="101">
        <v>6615.7</v>
      </c>
      <c r="M7" s="173"/>
    </row>
    <row r="8" spans="1:19" x14ac:dyDescent="0.2">
      <c r="A8" s="35" t="s">
        <v>14</v>
      </c>
      <c r="B8" s="35"/>
      <c r="C8" s="41">
        <v>2034.7570000000001</v>
      </c>
      <c r="D8" s="41">
        <v>2484.0830000000001</v>
      </c>
      <c r="E8" s="41">
        <v>2754.85</v>
      </c>
      <c r="F8" s="41">
        <v>2754.85</v>
      </c>
      <c r="G8" s="41">
        <v>3079.2139999999999</v>
      </c>
      <c r="H8" s="41">
        <v>3309.9160000000002</v>
      </c>
      <c r="I8" s="41">
        <v>3539.9270000000001</v>
      </c>
      <c r="J8" s="41">
        <v>3029.819</v>
      </c>
      <c r="K8" s="41">
        <v>3777.971</v>
      </c>
      <c r="L8" s="41">
        <v>4691.357</v>
      </c>
      <c r="M8" s="173"/>
      <c r="N8" s="22"/>
      <c r="O8" s="22"/>
      <c r="P8" s="22"/>
      <c r="Q8" s="22"/>
      <c r="R8" s="22"/>
    </row>
    <row r="9" spans="1:19" x14ac:dyDescent="0.2">
      <c r="A9" s="29" t="s">
        <v>13</v>
      </c>
      <c r="B9" s="29"/>
      <c r="C9" s="80">
        <f t="shared" ref="C9:H9" si="0">IFERROR(C7-C8,"n.a.")</f>
        <v>2445.1479999999997</v>
      </c>
      <c r="D9" s="80">
        <f t="shared" si="0"/>
        <v>2301.3139999999999</v>
      </c>
      <c r="E9" s="80">
        <f t="shared" si="0"/>
        <v>2221.5459999999998</v>
      </c>
      <c r="F9" s="80">
        <f t="shared" si="0"/>
        <v>2221.5459999999998</v>
      </c>
      <c r="G9" s="80">
        <f t="shared" si="0"/>
        <v>2273.0619999999999</v>
      </c>
      <c r="H9" s="80">
        <f t="shared" si="0"/>
        <v>1884.5480000000007</v>
      </c>
      <c r="I9" s="80">
        <f>IFERROR(I7-I8+0.05,"n.a.")</f>
        <v>1783.1759999999997</v>
      </c>
      <c r="J9" s="80">
        <f>IFERROR(J7-J8,"n.a.")</f>
        <v>1272.3120000000004</v>
      </c>
      <c r="K9" s="80">
        <f>IFERROR(K7-K8,"n.a.")</f>
        <v>1553.4789999999998</v>
      </c>
      <c r="L9" s="80">
        <f>IFERROR(L7-L8,"n.a.")</f>
        <v>1924.3429999999998</v>
      </c>
      <c r="M9" s="173"/>
      <c r="N9" s="173"/>
      <c r="O9" s="178"/>
      <c r="P9" s="22"/>
      <c r="Q9" s="22"/>
      <c r="R9" s="22"/>
    </row>
    <row r="10" spans="1:19" x14ac:dyDescent="0.2">
      <c r="C10" s="40"/>
      <c r="D10" s="40"/>
      <c r="E10" s="40"/>
      <c r="F10" s="40"/>
      <c r="G10" s="40"/>
      <c r="H10" s="40"/>
      <c r="I10" s="40"/>
      <c r="J10" s="40"/>
      <c r="K10" s="40"/>
      <c r="L10" s="40"/>
      <c r="M10" s="22"/>
      <c r="N10" s="22"/>
      <c r="O10" s="22"/>
      <c r="P10" s="22"/>
      <c r="Q10" s="22"/>
      <c r="R10" s="22"/>
    </row>
    <row r="11" spans="1:19" s="22" customFormat="1" hidden="1" outlineLevel="2" x14ac:dyDescent="0.2">
      <c r="A11" s="38" t="s">
        <v>209</v>
      </c>
      <c r="B11" s="38"/>
      <c r="C11" s="39">
        <v>889.71800000000007</v>
      </c>
      <c r="D11" s="39">
        <v>1021.3589999999999</v>
      </c>
      <c r="E11" s="39">
        <v>1082.307</v>
      </c>
      <c r="F11" s="39">
        <v>1082.307</v>
      </c>
      <c r="G11" s="39">
        <v>1175.1000000000001</v>
      </c>
      <c r="H11" s="39">
        <v>1279.1000000000001</v>
      </c>
      <c r="I11" s="39">
        <v>1350.7</v>
      </c>
      <c r="J11" s="39" t="s">
        <v>228</v>
      </c>
      <c r="K11" s="39" t="s">
        <v>228</v>
      </c>
      <c r="L11" s="39" t="s">
        <v>228</v>
      </c>
      <c r="M11" s="177"/>
      <c r="N11" s="2"/>
      <c r="O11" s="2"/>
      <c r="P11" s="2"/>
      <c r="Q11" s="2"/>
      <c r="R11" s="2"/>
      <c r="S11" s="2"/>
    </row>
    <row r="12" spans="1:19" hidden="1" outlineLevel="2" x14ac:dyDescent="0.2">
      <c r="A12" s="163" t="s">
        <v>210</v>
      </c>
      <c r="B12" s="163"/>
      <c r="C12" s="46">
        <f t="shared" ref="C12:I12" si="1">IFERROR(C11/C7,"n.a.")</f>
        <v>0.19860197928304285</v>
      </c>
      <c r="D12" s="46">
        <f t="shared" si="1"/>
        <v>0.21343244876025957</v>
      </c>
      <c r="E12" s="46">
        <f t="shared" si="1"/>
        <v>0.21748811790701544</v>
      </c>
      <c r="F12" s="46">
        <f t="shared" si="1"/>
        <v>0.21748811790701544</v>
      </c>
      <c r="G12" s="46">
        <f t="shared" si="1"/>
        <v>0.21955145810866258</v>
      </c>
      <c r="H12" s="46">
        <f t="shared" si="1"/>
        <v>0.24624292323519809</v>
      </c>
      <c r="I12" s="46">
        <f t="shared" si="1"/>
        <v>0.25374536004056319</v>
      </c>
      <c r="J12" s="46" t="str">
        <f>IFERROR(J11/J7,"n.a.")</f>
        <v>n.a.</v>
      </c>
      <c r="K12" s="46" t="str">
        <f>IFERROR(K11/K7,"n.a.")</f>
        <v>n.a.</v>
      </c>
      <c r="L12" s="46" t="str">
        <f>IFERROR(L11/L7,"n.a.")</f>
        <v>n.a.</v>
      </c>
      <c r="N12" s="22"/>
    </row>
    <row r="13" spans="1:19" hidden="1" outlineLevel="2" x14ac:dyDescent="0.2">
      <c r="C13" s="40"/>
      <c r="D13" s="40"/>
      <c r="E13" s="40"/>
      <c r="F13" s="40"/>
      <c r="G13" s="40"/>
      <c r="H13" s="40"/>
      <c r="I13" s="40"/>
      <c r="J13" s="40"/>
      <c r="K13" s="40"/>
      <c r="L13" s="40"/>
    </row>
    <row r="14" spans="1:19" s="22" customFormat="1" collapsed="1" x14ac:dyDescent="0.2">
      <c r="A14" s="99" t="s">
        <v>211</v>
      </c>
      <c r="B14" s="99"/>
      <c r="C14" s="101">
        <v>889.71800000000007</v>
      </c>
      <c r="D14" s="101">
        <v>1021.3589999999999</v>
      </c>
      <c r="E14" s="101">
        <v>1082.307</v>
      </c>
      <c r="F14" s="101">
        <v>1082.307</v>
      </c>
      <c r="G14" s="101">
        <v>1137.7</v>
      </c>
      <c r="H14" s="101">
        <v>1234.7</v>
      </c>
      <c r="I14" s="101">
        <v>1310.085</v>
      </c>
      <c r="J14" s="101">
        <v>892.63400000000001</v>
      </c>
      <c r="K14" s="101">
        <v>1210.7149999999999</v>
      </c>
      <c r="L14" s="101">
        <v>1408.346</v>
      </c>
      <c r="M14" s="173"/>
      <c r="N14" s="2"/>
      <c r="O14" s="2"/>
      <c r="P14" s="2"/>
      <c r="Q14" s="2"/>
      <c r="R14" s="2"/>
      <c r="S14" s="2"/>
    </row>
    <row r="15" spans="1:19" x14ac:dyDescent="0.2">
      <c r="A15" s="161" t="s">
        <v>212</v>
      </c>
      <c r="B15" s="161"/>
      <c r="C15" s="43">
        <f t="shared" ref="C15:I15" si="2">IFERROR(C14/C7,"n.a.")</f>
        <v>0.19860197928304285</v>
      </c>
      <c r="D15" s="43">
        <f t="shared" si="2"/>
        <v>0.21343244876025957</v>
      </c>
      <c r="E15" s="43">
        <f t="shared" si="2"/>
        <v>0.21748811790701544</v>
      </c>
      <c r="F15" s="43">
        <f t="shared" si="2"/>
        <v>0.21748811790701544</v>
      </c>
      <c r="G15" s="43">
        <f t="shared" si="2"/>
        <v>0.2125637766064381</v>
      </c>
      <c r="H15" s="43">
        <f t="shared" si="2"/>
        <v>0.23769536183136505</v>
      </c>
      <c r="I15" s="43">
        <f t="shared" si="2"/>
        <v>0.24611534020044512</v>
      </c>
      <c r="J15" s="43">
        <f>IFERROR(J14/J7,"n.a.")</f>
        <v>0.20748647588834462</v>
      </c>
      <c r="K15" s="43">
        <f>IFERROR(K14/K7,"n.a.")</f>
        <v>0.22708925339260425</v>
      </c>
      <c r="L15" s="43">
        <f>IFERROR(L14/L7,"n.a.")</f>
        <v>0.21287936272805599</v>
      </c>
    </row>
    <row r="16" spans="1:19" x14ac:dyDescent="0.2">
      <c r="C16" s="40"/>
      <c r="D16" s="40"/>
      <c r="E16" s="40"/>
      <c r="F16" s="40"/>
      <c r="G16" s="40"/>
      <c r="H16" s="40"/>
      <c r="I16" s="40"/>
      <c r="J16" s="40"/>
      <c r="K16" s="40"/>
      <c r="L16" s="40"/>
    </row>
    <row r="17" spans="1:19" s="22" customFormat="1" ht="15" hidden="1" customHeight="1" outlineLevel="1" x14ac:dyDescent="0.2">
      <c r="A17" s="35" t="s">
        <v>257</v>
      </c>
      <c r="B17" s="35"/>
      <c r="C17" s="77">
        <f t="shared" ref="C17:L17" si="3">IFERROR(C24-C14,"n.a.")</f>
        <v>-235.47399999999993</v>
      </c>
      <c r="D17" s="77">
        <f t="shared" si="3"/>
        <v>-252.154</v>
      </c>
      <c r="E17" s="77">
        <f t="shared" si="3"/>
        <v>-237.98400000000004</v>
      </c>
      <c r="F17" s="77">
        <f t="shared" si="3"/>
        <v>-237.98400000000004</v>
      </c>
      <c r="G17" s="77">
        <f t="shared" si="3"/>
        <v>-261.30000000000007</v>
      </c>
      <c r="H17" s="77">
        <f t="shared" si="3"/>
        <v>-279.70000000000005</v>
      </c>
      <c r="I17" s="77">
        <f t="shared" si="3"/>
        <v>-392.78499999999997</v>
      </c>
      <c r="J17" s="77">
        <f t="shared" si="3"/>
        <v>-391.45400000000001</v>
      </c>
      <c r="K17" s="77">
        <f t="shared" si="3"/>
        <v>-394.93399999999997</v>
      </c>
      <c r="L17" s="77">
        <f t="shared" si="3"/>
        <v>-430.56299999999999</v>
      </c>
      <c r="M17" s="2"/>
      <c r="N17" s="2"/>
      <c r="O17" s="2"/>
      <c r="P17" s="2"/>
      <c r="Q17" s="2"/>
      <c r="R17" s="2"/>
      <c r="S17" s="2"/>
    </row>
    <row r="18" spans="1:19" collapsed="1" x14ac:dyDescent="0.2">
      <c r="C18" s="40"/>
      <c r="D18" s="40"/>
      <c r="E18" s="40"/>
      <c r="F18" s="40"/>
      <c r="G18" s="40"/>
      <c r="H18" s="40"/>
      <c r="I18" s="40"/>
      <c r="J18" s="40"/>
      <c r="K18" s="40"/>
      <c r="L18" s="40"/>
      <c r="M18" s="22"/>
      <c r="N18" s="22"/>
      <c r="O18" s="22"/>
      <c r="P18" s="22"/>
      <c r="Q18" s="22"/>
      <c r="R18" s="22"/>
    </row>
    <row r="19" spans="1:19" s="22" customFormat="1" hidden="1" outlineLevel="2" x14ac:dyDescent="0.2">
      <c r="A19" s="38" t="s">
        <v>213</v>
      </c>
      <c r="B19" s="38"/>
      <c r="C19" s="39">
        <v>654.24400000000014</v>
      </c>
      <c r="D19" s="39">
        <v>769.20499999999993</v>
      </c>
      <c r="E19" s="39">
        <v>844.32299999999998</v>
      </c>
      <c r="F19" s="39">
        <v>844.32299999999998</v>
      </c>
      <c r="G19" s="39">
        <v>926.6</v>
      </c>
      <c r="H19" s="39">
        <v>1002.7</v>
      </c>
      <c r="I19" s="39">
        <v>958.6</v>
      </c>
      <c r="J19" s="39" t="s">
        <v>228</v>
      </c>
      <c r="K19" s="39" t="s">
        <v>228</v>
      </c>
      <c r="L19" s="39" t="s">
        <v>228</v>
      </c>
      <c r="M19" s="177"/>
    </row>
    <row r="20" spans="1:19" hidden="1" outlineLevel="2" x14ac:dyDescent="0.2">
      <c r="A20" s="112" t="s">
        <v>184</v>
      </c>
      <c r="B20" s="112"/>
      <c r="C20" s="157">
        <v>0.68</v>
      </c>
      <c r="D20" s="158">
        <v>0.77</v>
      </c>
      <c r="E20" s="158">
        <v>0.81</v>
      </c>
      <c r="F20" s="158">
        <v>0.81</v>
      </c>
      <c r="G20" s="158">
        <v>0.83</v>
      </c>
      <c r="H20" s="158">
        <v>0.83199999999999996</v>
      </c>
      <c r="I20" s="158">
        <v>0.83499999999999996</v>
      </c>
      <c r="J20" s="158" t="s">
        <v>228</v>
      </c>
      <c r="K20" s="158" t="s">
        <v>228</v>
      </c>
      <c r="L20" s="158" t="s">
        <v>228</v>
      </c>
    </row>
    <row r="21" spans="1:19" hidden="1" outlineLevel="2" x14ac:dyDescent="0.2">
      <c r="A21" s="161" t="s">
        <v>214</v>
      </c>
      <c r="B21" s="161"/>
      <c r="C21" s="43">
        <f t="shared" ref="C21:I21" si="4">IFERROR(C19/C7,"n.a.")</f>
        <v>0.14603970396693683</v>
      </c>
      <c r="D21" s="43">
        <f t="shared" si="4"/>
        <v>0.16074005981112954</v>
      </c>
      <c r="E21" s="43">
        <f t="shared" si="4"/>
        <v>0.16966555716225157</v>
      </c>
      <c r="F21" s="43">
        <f t="shared" si="4"/>
        <v>0.16966555716225157</v>
      </c>
      <c r="G21" s="43">
        <f t="shared" si="4"/>
        <v>0.17312261176366839</v>
      </c>
      <c r="H21" s="43">
        <f t="shared" si="4"/>
        <v>0.19303242836989531</v>
      </c>
      <c r="I21" s="43">
        <f t="shared" si="4"/>
        <v>0.18008462436875983</v>
      </c>
      <c r="J21" s="43" t="str">
        <f>IFERROR(J19/J7,"n.a.")</f>
        <v>n.a.</v>
      </c>
      <c r="K21" s="43" t="str">
        <f>IFERROR(K19/K7,"n.a.")</f>
        <v>n.a.</v>
      </c>
      <c r="L21" s="43" t="str">
        <f>IFERROR(L19/L7,"n.a.")</f>
        <v>n.a.</v>
      </c>
      <c r="N21" s="22"/>
    </row>
    <row r="22" spans="1:19" ht="12.75" hidden="1" customHeight="1" outlineLevel="2" x14ac:dyDescent="0.2">
      <c r="A22" s="35" t="s">
        <v>32</v>
      </c>
      <c r="B22" s="35"/>
      <c r="C22" s="113">
        <v>0</v>
      </c>
      <c r="D22" s="113">
        <v>0</v>
      </c>
      <c r="E22" s="113">
        <v>0</v>
      </c>
      <c r="F22" s="113">
        <v>0</v>
      </c>
      <c r="G22" s="113">
        <v>-50.2</v>
      </c>
      <c r="H22" s="113">
        <v>-47.7</v>
      </c>
      <c r="I22" s="113">
        <v>-41.3</v>
      </c>
      <c r="J22" s="113" t="s">
        <v>228</v>
      </c>
      <c r="K22" s="113" t="s">
        <v>228</v>
      </c>
      <c r="L22" s="113" t="s">
        <v>228</v>
      </c>
    </row>
    <row r="23" spans="1:19" hidden="1" outlineLevel="2" x14ac:dyDescent="0.2">
      <c r="C23" s="40"/>
      <c r="D23" s="40"/>
      <c r="E23" s="40"/>
      <c r="F23" s="40"/>
      <c r="G23" s="40"/>
      <c r="H23" s="40"/>
      <c r="I23" s="40"/>
      <c r="J23" s="40"/>
      <c r="K23" s="40"/>
      <c r="L23" s="40"/>
    </row>
    <row r="24" spans="1:19" s="22" customFormat="1" collapsed="1" x14ac:dyDescent="0.2">
      <c r="A24" s="99" t="s">
        <v>215</v>
      </c>
      <c r="B24" s="99"/>
      <c r="C24" s="100">
        <f t="shared" ref="C24:I24" si="5">IFERROR(C19+C22,"n.a.")</f>
        <v>654.24400000000014</v>
      </c>
      <c r="D24" s="100">
        <f t="shared" si="5"/>
        <v>769.20499999999993</v>
      </c>
      <c r="E24" s="100">
        <f t="shared" si="5"/>
        <v>844.32299999999998</v>
      </c>
      <c r="F24" s="100">
        <f t="shared" si="5"/>
        <v>844.32299999999998</v>
      </c>
      <c r="G24" s="100">
        <f t="shared" si="5"/>
        <v>876.4</v>
      </c>
      <c r="H24" s="100">
        <f t="shared" si="5"/>
        <v>955</v>
      </c>
      <c r="I24" s="100">
        <f t="shared" si="5"/>
        <v>917.30000000000007</v>
      </c>
      <c r="J24" s="101">
        <v>501.18</v>
      </c>
      <c r="K24" s="101">
        <v>815.78099999999995</v>
      </c>
      <c r="L24" s="101">
        <v>977.78300000000002</v>
      </c>
      <c r="M24" s="247"/>
      <c r="N24" s="2"/>
      <c r="O24" s="2"/>
      <c r="P24" s="2"/>
      <c r="Q24" s="2"/>
      <c r="R24" s="2"/>
      <c r="S24" s="2"/>
    </row>
    <row r="25" spans="1:19" x14ac:dyDescent="0.2">
      <c r="A25" s="162" t="s">
        <v>216</v>
      </c>
      <c r="B25" s="162"/>
      <c r="C25" s="49">
        <f t="shared" ref="C25:I25" si="6">IFERROR(C24/C7,"n.a.")</f>
        <v>0.14603970396693683</v>
      </c>
      <c r="D25" s="49">
        <f t="shared" si="6"/>
        <v>0.16074005981112954</v>
      </c>
      <c r="E25" s="49">
        <f t="shared" si="6"/>
        <v>0.16966555716225157</v>
      </c>
      <c r="F25" s="49">
        <f t="shared" si="6"/>
        <v>0.16966555716225157</v>
      </c>
      <c r="G25" s="49">
        <f t="shared" si="6"/>
        <v>0.16374342429276817</v>
      </c>
      <c r="H25" s="49">
        <f t="shared" si="6"/>
        <v>0.18384957524010173</v>
      </c>
      <c r="I25" s="49">
        <f t="shared" si="6"/>
        <v>0.17232591897920235</v>
      </c>
      <c r="J25" s="49">
        <f>IFERROR(J24/J7,"n.a.")</f>
        <v>0.11649575524315739</v>
      </c>
      <c r="K25" s="49">
        <f>IFERROR(K24/K7,"n.a.")</f>
        <v>0.15301297020510368</v>
      </c>
      <c r="L25" s="49">
        <f>IFERROR(L24/L7,"n.a.")</f>
        <v>0.14779736082349562</v>
      </c>
    </row>
    <row r="26" spans="1:19" ht="15" hidden="1" customHeight="1" outlineLevel="1" x14ac:dyDescent="0.2">
      <c r="A26" s="35" t="s">
        <v>30</v>
      </c>
      <c r="B26" s="35"/>
      <c r="C26" s="41">
        <v>-6.2</v>
      </c>
      <c r="D26" s="41">
        <v>-6.2</v>
      </c>
      <c r="E26" s="41">
        <v>-104.6</v>
      </c>
      <c r="F26" s="41">
        <v>-104.6</v>
      </c>
      <c r="G26" s="41">
        <v>-109.6</v>
      </c>
      <c r="H26" s="41">
        <v>-114.6</v>
      </c>
      <c r="I26" s="41">
        <v>-114.6</v>
      </c>
      <c r="J26" s="41">
        <v>-114.6</v>
      </c>
      <c r="K26" s="41">
        <v>-113.7</v>
      </c>
      <c r="L26" s="41">
        <v>-113.70699999999999</v>
      </c>
    </row>
    <row r="27" spans="1:19" ht="15" hidden="1" customHeight="1" outlineLevel="1" x14ac:dyDescent="0.2">
      <c r="A27" s="29" t="s">
        <v>330</v>
      </c>
      <c r="B27" s="29"/>
      <c r="C27" s="42">
        <v>-24.263000000000002</v>
      </c>
      <c r="D27" s="42">
        <v>-55.195</v>
      </c>
      <c r="E27" s="42">
        <v>-53.271000000000001</v>
      </c>
      <c r="F27" s="42">
        <v>-53.271000000000001</v>
      </c>
      <c r="G27" s="42">
        <v>-93.2</v>
      </c>
      <c r="H27" s="42">
        <v>-137.30000000000001</v>
      </c>
      <c r="I27" s="85">
        <v>-59.994999999999997</v>
      </c>
      <c r="J27" s="85">
        <v>-167.44200000000001</v>
      </c>
      <c r="K27" s="85">
        <v>-124.98099999999999</v>
      </c>
      <c r="L27" s="85">
        <f>-68.598-4</f>
        <v>-72.597999999999999</v>
      </c>
    </row>
    <row r="28" spans="1:19" collapsed="1" x14ac:dyDescent="0.2">
      <c r="C28" s="40"/>
      <c r="D28" s="40"/>
      <c r="E28" s="40"/>
      <c r="F28" s="40"/>
      <c r="G28" s="40"/>
      <c r="H28" s="40"/>
      <c r="I28" s="40"/>
      <c r="J28" s="40"/>
      <c r="K28" s="40"/>
      <c r="L28" s="40"/>
    </row>
    <row r="29" spans="1:19" ht="15" hidden="1" customHeight="1" outlineLevel="2" x14ac:dyDescent="0.2">
      <c r="A29" s="29" t="s">
        <v>21</v>
      </c>
      <c r="B29" s="29"/>
      <c r="C29" s="42">
        <v>41.832000000000001</v>
      </c>
      <c r="D29" s="42">
        <v>64.242999999999995</v>
      </c>
      <c r="E29" s="42">
        <v>0</v>
      </c>
      <c r="F29" s="42">
        <v>0</v>
      </c>
      <c r="G29" s="42">
        <v>0</v>
      </c>
      <c r="H29" s="42">
        <v>0</v>
      </c>
      <c r="I29" s="42">
        <v>0</v>
      </c>
      <c r="J29" s="42">
        <v>0</v>
      </c>
      <c r="K29" s="42">
        <v>0</v>
      </c>
      <c r="L29" s="42">
        <v>0</v>
      </c>
    </row>
    <row r="30" spans="1:19" ht="15" hidden="1" customHeight="1" outlineLevel="2" x14ac:dyDescent="0.2">
      <c r="A30" s="29" t="s">
        <v>22</v>
      </c>
      <c r="B30" s="29"/>
      <c r="C30" s="42">
        <v>28.576000000000001</v>
      </c>
      <c r="D30" s="42">
        <v>0</v>
      </c>
      <c r="E30" s="42">
        <v>0</v>
      </c>
      <c r="F30" s="42">
        <v>0</v>
      </c>
      <c r="G30" s="42">
        <v>0</v>
      </c>
      <c r="H30" s="42">
        <v>0</v>
      </c>
      <c r="I30" s="42">
        <v>0</v>
      </c>
      <c r="J30" s="42">
        <v>0</v>
      </c>
      <c r="K30" s="42">
        <v>0</v>
      </c>
      <c r="L30" s="42">
        <v>0</v>
      </c>
    </row>
    <row r="31" spans="1:19" s="22" customFormat="1" collapsed="1" x14ac:dyDescent="0.2">
      <c r="A31" s="38" t="s">
        <v>12</v>
      </c>
      <c r="B31" s="38"/>
      <c r="C31" s="47">
        <f t="shared" ref="C31:J31" si="7">IFERROR(C24+C26+C27+C29+C30,"n.a.")</f>
        <v>694.18900000000008</v>
      </c>
      <c r="D31" s="47">
        <f t="shared" si="7"/>
        <v>772.05299999999988</v>
      </c>
      <c r="E31" s="47">
        <f t="shared" si="7"/>
        <v>686.452</v>
      </c>
      <c r="F31" s="47">
        <f t="shared" si="7"/>
        <v>686.452</v>
      </c>
      <c r="G31" s="47">
        <f t="shared" si="7"/>
        <v>673.59999999999991</v>
      </c>
      <c r="H31" s="47">
        <f t="shared" si="7"/>
        <v>703.09999999999991</v>
      </c>
      <c r="I31" s="47">
        <f t="shared" si="7"/>
        <v>742.70500000000004</v>
      </c>
      <c r="J31" s="47">
        <f t="shared" si="7"/>
        <v>219.13800000000003</v>
      </c>
      <c r="K31" s="47">
        <f>IFERROR(K24+K26+K27+K29+K30-0.046,"n.a.")</f>
        <v>577.05399999999986</v>
      </c>
      <c r="L31" s="47">
        <f>IFERROR(L24+L26+L27+L29+L30,"n.a.")</f>
        <v>791.47800000000007</v>
      </c>
      <c r="M31" s="2"/>
      <c r="N31" s="2"/>
      <c r="O31" s="2"/>
      <c r="P31" s="2"/>
      <c r="Q31" s="2"/>
      <c r="R31" s="2"/>
      <c r="S31" s="2"/>
    </row>
    <row r="32" spans="1:19" x14ac:dyDescent="0.2">
      <c r="C32" s="40"/>
      <c r="D32" s="40"/>
      <c r="E32" s="40"/>
      <c r="F32" s="40"/>
      <c r="G32" s="40"/>
      <c r="H32" s="40"/>
      <c r="I32" s="40"/>
      <c r="J32" s="40"/>
      <c r="K32" s="40"/>
      <c r="L32" s="40"/>
    </row>
    <row r="33" spans="1:12" hidden="1" outlineLevel="1" x14ac:dyDescent="0.2">
      <c r="A33" s="35" t="s">
        <v>17</v>
      </c>
      <c r="B33" s="35"/>
      <c r="C33" s="41">
        <v>-87</v>
      </c>
      <c r="D33" s="41">
        <v>-41.393000000000001</v>
      </c>
      <c r="E33" s="86">
        <v>-20.018999999999998</v>
      </c>
      <c r="F33" s="86">
        <v>-20.018999999999998</v>
      </c>
      <c r="G33" s="41">
        <v>-6.8550000000000004</v>
      </c>
      <c r="H33" s="86">
        <v>-4.9999999999999991</v>
      </c>
      <c r="I33" s="86">
        <v>-11.005000000000001</v>
      </c>
      <c r="J33" s="86">
        <v>-5.2709999999999999</v>
      </c>
      <c r="K33" s="228">
        <v>3.9780000000000002</v>
      </c>
      <c r="L33" s="228">
        <v>5.8470000000000004</v>
      </c>
    </row>
    <row r="34" spans="1:12" hidden="1" outlineLevel="2" x14ac:dyDescent="0.2">
      <c r="A34" s="29" t="s">
        <v>18</v>
      </c>
      <c r="B34" s="29"/>
      <c r="C34" s="42">
        <v>0</v>
      </c>
      <c r="D34" s="42">
        <v>-507.77699999999999</v>
      </c>
      <c r="E34" s="67">
        <v>0</v>
      </c>
      <c r="F34" s="67">
        <v>0</v>
      </c>
      <c r="G34" s="42">
        <v>0</v>
      </c>
      <c r="H34" s="86">
        <v>0</v>
      </c>
      <c r="I34" s="86">
        <v>0</v>
      </c>
      <c r="J34" s="86">
        <v>0</v>
      </c>
      <c r="K34" s="228">
        <v>0</v>
      </c>
      <c r="L34" s="228">
        <v>0</v>
      </c>
    </row>
    <row r="35" spans="1:12" hidden="1" outlineLevel="1" x14ac:dyDescent="0.2">
      <c r="A35" s="29" t="s">
        <v>345</v>
      </c>
      <c r="B35" s="29"/>
      <c r="C35" s="42">
        <v>-256.93099999999998</v>
      </c>
      <c r="D35" s="42">
        <v>-308.52</v>
      </c>
      <c r="E35" s="67">
        <v>-427.19</v>
      </c>
      <c r="F35" s="67">
        <v>-427.19</v>
      </c>
      <c r="G35" s="42">
        <v>-362.61</v>
      </c>
      <c r="H35" s="67">
        <v>-196.30000000000007</v>
      </c>
      <c r="I35" s="85">
        <v>-109.479</v>
      </c>
      <c r="J35" s="67">
        <v>-156.429</v>
      </c>
      <c r="K35" s="67">
        <v>-144.28100000000001</v>
      </c>
      <c r="L35" s="67">
        <v>-201.69499999999999</v>
      </c>
    </row>
    <row r="36" spans="1:12" hidden="1" outlineLevel="1" x14ac:dyDescent="0.2">
      <c r="A36" s="29" t="s">
        <v>346</v>
      </c>
      <c r="B36" s="29"/>
      <c r="C36" s="42">
        <v>-130.148</v>
      </c>
      <c r="D36" s="42">
        <v>-278.15499999999997</v>
      </c>
      <c r="E36" s="67">
        <v>-75.256</v>
      </c>
      <c r="F36" s="67">
        <v>-75.256</v>
      </c>
      <c r="G36" s="42">
        <v>-40.847999999999999</v>
      </c>
      <c r="H36" s="67">
        <v>-53</v>
      </c>
      <c r="I36" s="67">
        <v>-164.56200000000001</v>
      </c>
      <c r="J36" s="67">
        <v>-14.693</v>
      </c>
      <c r="K36" s="67">
        <v>-115.158</v>
      </c>
      <c r="L36" s="67">
        <v>-159.73400000000001</v>
      </c>
    </row>
    <row r="37" spans="1:12" collapsed="1" x14ac:dyDescent="0.2">
      <c r="A37" s="45" t="s">
        <v>173</v>
      </c>
      <c r="B37" s="45"/>
      <c r="C37" s="46">
        <f>IFERROR(C36/SUM(C31,C33,C34,C35),"n.a.")</f>
        <v>-0.37157752285458134</v>
      </c>
      <c r="D37" s="46" t="s">
        <v>174</v>
      </c>
      <c r="E37" s="46">
        <f t="shared" ref="E37:J37" si="8">IFERROR(E36/SUM(E31,E33,E34,E35),"n.a.")</f>
        <v>-0.31455883766714177</v>
      </c>
      <c r="F37" s="46">
        <f t="shared" si="8"/>
        <v>-0.31455883766714177</v>
      </c>
      <c r="G37" s="46">
        <f t="shared" si="8"/>
        <v>-0.13430877735216273</v>
      </c>
      <c r="H37" s="46">
        <f t="shared" si="8"/>
        <v>-0.1056197688322041</v>
      </c>
      <c r="I37" s="46">
        <f t="shared" si="8"/>
        <v>-0.26447516236192609</v>
      </c>
      <c r="J37" s="46">
        <f t="shared" si="8"/>
        <v>-0.2558062606636719</v>
      </c>
      <c r="K37" s="46">
        <f>IFERROR(K36/SUM(K31,K33,K34,K35),"n.a.")</f>
        <v>-0.26366968822051934</v>
      </c>
      <c r="L37" s="46">
        <f>IFERROR(L36/SUM(L31,L33,L34,L35),"n.a.")</f>
        <v>-0.26817655255779593</v>
      </c>
    </row>
    <row r="38" spans="1:12" s="22" customFormat="1" x14ac:dyDescent="0.2">
      <c r="A38" s="38" t="s">
        <v>185</v>
      </c>
      <c r="B38" s="38"/>
      <c r="C38" s="47">
        <f t="shared" ref="C38:L38" si="9">IFERROR(C31+C33+C34+C35+C36,"n.a.")</f>
        <v>220.1100000000001</v>
      </c>
      <c r="D38" s="47">
        <f t="shared" si="9"/>
        <v>-363.79200000000009</v>
      </c>
      <c r="E38" s="47">
        <f t="shared" si="9"/>
        <v>163.98699999999999</v>
      </c>
      <c r="F38" s="47">
        <f t="shared" si="9"/>
        <v>163.98699999999999</v>
      </c>
      <c r="G38" s="47">
        <f t="shared" si="9"/>
        <v>263.28699999999986</v>
      </c>
      <c r="H38" s="47">
        <f t="shared" si="9"/>
        <v>448.79999999999984</v>
      </c>
      <c r="I38" s="47">
        <f t="shared" si="9"/>
        <v>457.65899999999999</v>
      </c>
      <c r="J38" s="47">
        <f t="shared" si="9"/>
        <v>42.745000000000047</v>
      </c>
      <c r="K38" s="47">
        <f t="shared" si="9"/>
        <v>321.59299999999979</v>
      </c>
      <c r="L38" s="47">
        <f t="shared" si="9"/>
        <v>435.89600000000007</v>
      </c>
    </row>
    <row r="39" spans="1:12" hidden="1" outlineLevel="1" x14ac:dyDescent="0.2">
      <c r="A39" s="29" t="s">
        <v>186</v>
      </c>
      <c r="B39" s="29"/>
      <c r="C39" s="42">
        <v>17.623000000000001</v>
      </c>
      <c r="D39" s="42">
        <v>-14.651</v>
      </c>
      <c r="E39" s="67">
        <v>0</v>
      </c>
      <c r="F39" s="67">
        <v>-16.361999999999998</v>
      </c>
      <c r="G39" s="42">
        <v>-87.561999999999998</v>
      </c>
      <c r="H39" s="67">
        <v>-6.4089999999999998</v>
      </c>
      <c r="I39" s="67">
        <v>0</v>
      </c>
      <c r="J39" s="67">
        <v>0</v>
      </c>
      <c r="K39" s="67">
        <v>0</v>
      </c>
      <c r="L39" s="67">
        <v>0</v>
      </c>
    </row>
    <row r="40" spans="1:12" s="22" customFormat="1" collapsed="1" x14ac:dyDescent="0.2">
      <c r="A40" s="38" t="s">
        <v>324</v>
      </c>
      <c r="B40" s="38"/>
      <c r="C40" s="47">
        <f t="shared" ref="C40:J40" si="10">IFERROR(C38+C39,"n.a.")</f>
        <v>237.73300000000009</v>
      </c>
      <c r="D40" s="47">
        <f t="shared" si="10"/>
        <v>-378.4430000000001</v>
      </c>
      <c r="E40" s="47">
        <f t="shared" si="10"/>
        <v>163.98699999999999</v>
      </c>
      <c r="F40" s="47">
        <f t="shared" si="10"/>
        <v>147.625</v>
      </c>
      <c r="G40" s="47">
        <f t="shared" si="10"/>
        <v>175.72499999999985</v>
      </c>
      <c r="H40" s="47">
        <f t="shared" si="10"/>
        <v>442.39099999999985</v>
      </c>
      <c r="I40" s="47">
        <f t="shared" si="10"/>
        <v>457.65899999999999</v>
      </c>
      <c r="J40" s="47">
        <f t="shared" si="10"/>
        <v>42.745000000000047</v>
      </c>
      <c r="K40" s="47">
        <f>IFERROR(K38+K39,"n.a.")</f>
        <v>321.59299999999979</v>
      </c>
      <c r="L40" s="47">
        <f>IFERROR(L38+L39,"n.a.")</f>
        <v>435.89600000000007</v>
      </c>
    </row>
    <row r="41" spans="1:12" x14ac:dyDescent="0.2">
      <c r="A41" s="60" t="s">
        <v>31</v>
      </c>
      <c r="B41" s="60"/>
      <c r="C41" s="48">
        <v>10.769</v>
      </c>
      <c r="D41" s="48">
        <v>5.3019999999999996</v>
      </c>
      <c r="E41" s="48">
        <v>9.1780000000000008</v>
      </c>
      <c r="F41" s="48">
        <v>12.561999999999999</v>
      </c>
      <c r="G41" s="48">
        <v>-0.68500000000000005</v>
      </c>
      <c r="H41" s="66">
        <v>10.8</v>
      </c>
      <c r="I41" s="66">
        <v>19.600000000000001</v>
      </c>
      <c r="J41" s="66">
        <v>12.9</v>
      </c>
      <c r="K41" s="66">
        <v>18.8</v>
      </c>
      <c r="L41" s="66">
        <v>18.14</v>
      </c>
    </row>
    <row r="42" spans="1:12" x14ac:dyDescent="0.2">
      <c r="C42" s="40"/>
      <c r="D42" s="40"/>
      <c r="E42" s="40"/>
      <c r="F42" s="40"/>
      <c r="G42" s="40"/>
      <c r="H42" s="40"/>
      <c r="I42" s="40"/>
      <c r="J42" s="40"/>
      <c r="K42" s="40"/>
      <c r="L42" s="40"/>
    </row>
    <row r="43" spans="1:12" hidden="1" outlineLevel="1" x14ac:dyDescent="0.2">
      <c r="A43" s="159" t="s">
        <v>232</v>
      </c>
      <c r="B43" s="159"/>
      <c r="C43" s="42">
        <v>-39.945</v>
      </c>
      <c r="D43" s="42">
        <v>-2.8479999999999999</v>
      </c>
      <c r="E43" s="79">
        <f t="shared" ref="E43:K43" si="11">IFERROR(-(E26+E27),"n.a.")</f>
        <v>157.87099999999998</v>
      </c>
      <c r="F43" s="79">
        <f t="shared" si="11"/>
        <v>157.87099999999998</v>
      </c>
      <c r="G43" s="79">
        <f t="shared" si="11"/>
        <v>202.8</v>
      </c>
      <c r="H43" s="79">
        <f t="shared" si="11"/>
        <v>251.9</v>
      </c>
      <c r="I43" s="79">
        <f t="shared" si="11"/>
        <v>174.595</v>
      </c>
      <c r="J43" s="79">
        <f t="shared" si="11"/>
        <v>282.04200000000003</v>
      </c>
      <c r="K43" s="79">
        <f t="shared" si="11"/>
        <v>238.68099999999998</v>
      </c>
      <c r="L43" s="79">
        <f>IFERROR(-(L26+L27),"n.a.")</f>
        <v>186.30500000000001</v>
      </c>
    </row>
    <row r="44" spans="1:12" hidden="1" outlineLevel="1" x14ac:dyDescent="0.2">
      <c r="A44" s="159" t="s">
        <v>233</v>
      </c>
      <c r="B44" s="159"/>
      <c r="C44" s="42">
        <v>98.9</v>
      </c>
      <c r="D44" s="42">
        <v>157.6</v>
      </c>
      <c r="E44" s="42">
        <v>25.4</v>
      </c>
      <c r="F44" s="42">
        <v>25.4</v>
      </c>
      <c r="G44" s="42">
        <v>61.15</v>
      </c>
      <c r="H44" s="42">
        <v>2.1490000000000022</v>
      </c>
      <c r="I44" s="42">
        <v>-107.3</v>
      </c>
      <c r="J44" s="67">
        <v>0</v>
      </c>
      <c r="K44" s="67">
        <v>0</v>
      </c>
      <c r="L44" s="67">
        <v>0</v>
      </c>
    </row>
    <row r="45" spans="1:12" hidden="1" outlineLevel="1" x14ac:dyDescent="0.2">
      <c r="A45" s="29" t="s">
        <v>34</v>
      </c>
      <c r="B45" s="29"/>
      <c r="C45" s="42">
        <v>2.1</v>
      </c>
      <c r="D45" s="42">
        <v>89.7</v>
      </c>
      <c r="E45" s="42">
        <v>-50.7</v>
      </c>
      <c r="F45" s="42">
        <v>-50.7</v>
      </c>
      <c r="G45" s="42">
        <v>-140.4</v>
      </c>
      <c r="H45" s="42">
        <v>-126.47799999999999</v>
      </c>
      <c r="I45" s="42">
        <v>-10.7</v>
      </c>
      <c r="J45" s="67">
        <v>-79.283000000000001</v>
      </c>
      <c r="K45" s="67">
        <v>-91.537999999999997</v>
      </c>
      <c r="L45" s="67">
        <v>-51.8</v>
      </c>
    </row>
    <row r="46" spans="1:12" s="22" customFormat="1" collapsed="1" x14ac:dyDescent="0.2">
      <c r="A46" s="99" t="s">
        <v>217</v>
      </c>
      <c r="B46" s="99"/>
      <c r="C46" s="100">
        <f>IFERROR(C38-C34+C43+C44+C45,"n.a.")</f>
        <v>281.16500000000013</v>
      </c>
      <c r="D46" s="100">
        <f>IFERROR(D38-D34+D43+D44+D45,"n.a.")</f>
        <v>388.43699999999984</v>
      </c>
      <c r="E46" s="100">
        <f>IFERROR(E38-E34+E43+E44+E45,"n.a.")</f>
        <v>296.55799999999994</v>
      </c>
      <c r="F46" s="100">
        <f>IFERROR(F38-F34+F43+F44+F45,"n.a.")</f>
        <v>296.55799999999994</v>
      </c>
      <c r="G46" s="100">
        <f>IFERROR(G38-G34+G43+G44+G45,"n.a.")</f>
        <v>386.83699999999988</v>
      </c>
      <c r="H46" s="100">
        <f>IFERROR(H38-H34+H43+H44+H45,"n.a.")-0.1</f>
        <v>576.27099999999984</v>
      </c>
      <c r="I46" s="100">
        <f>IFERROR(I38-I34+I43+I44+I45,"n.a.")</f>
        <v>514.25400000000002</v>
      </c>
      <c r="J46" s="100">
        <f>IFERROR(J38-J34+J43+J44+J45-0.05,"n.a.")</f>
        <v>245.45400000000006</v>
      </c>
      <c r="K46" s="100">
        <f>IFERROR(K38-K34+K43+K44+K45+0.1,"n.a.")</f>
        <v>468.83599999999979</v>
      </c>
      <c r="L46" s="100">
        <f>IFERROR(L38-L34+L43+L44+L45,"n.a.")</f>
        <v>570.40100000000007</v>
      </c>
    </row>
    <row r="47" spans="1:12" x14ac:dyDescent="0.2">
      <c r="A47" s="163" t="s">
        <v>218</v>
      </c>
      <c r="B47" s="163"/>
      <c r="C47" s="46">
        <f t="shared" ref="C47:I47" si="12">IFERROR(C46/C7,"n.a.")</f>
        <v>6.2761375520239859E-2</v>
      </c>
      <c r="D47" s="46">
        <f t="shared" si="12"/>
        <v>8.1171321835993931E-2</v>
      </c>
      <c r="E47" s="46">
        <f t="shared" si="12"/>
        <v>5.9592926286412891E-2</v>
      </c>
      <c r="F47" s="46">
        <f t="shared" si="12"/>
        <v>5.9592926286412891E-2</v>
      </c>
      <c r="G47" s="46">
        <f t="shared" si="12"/>
        <v>7.2275233937861186E-2</v>
      </c>
      <c r="H47" s="46">
        <f t="shared" si="12"/>
        <v>0.11093945400333889</v>
      </c>
      <c r="I47" s="46">
        <f t="shared" si="12"/>
        <v>9.6608844585992296E-2</v>
      </c>
      <c r="J47" s="46">
        <f>IFERROR(J46/J7,"n.a.")</f>
        <v>5.7054050655361274E-2</v>
      </c>
      <c r="K47" s="46">
        <f>IFERROR(K46/K7,"n.a.")</f>
        <v>8.7937803036697293E-2</v>
      </c>
      <c r="L47" s="46">
        <f>IFERROR(L46/L7,"n.a.")</f>
        <v>8.6219296521910016E-2</v>
      </c>
    </row>
    <row r="48" spans="1:12" x14ac:dyDescent="0.2">
      <c r="C48" s="40"/>
      <c r="D48" s="40"/>
      <c r="E48" s="40"/>
      <c r="F48" s="40"/>
      <c r="G48" s="40"/>
      <c r="H48" s="40"/>
      <c r="I48" s="40"/>
      <c r="J48" s="40"/>
      <c r="K48" s="40"/>
      <c r="L48" s="40"/>
    </row>
    <row r="49" spans="1:13" hidden="1" outlineLevel="1" x14ac:dyDescent="0.2">
      <c r="A49" s="35" t="s">
        <v>35</v>
      </c>
      <c r="B49" s="35"/>
      <c r="C49" s="41">
        <v>297.46800000000002</v>
      </c>
      <c r="D49" s="52">
        <f>-'Cash Flow - FY'!D8</f>
        <v>349.5</v>
      </c>
      <c r="E49" s="52">
        <f>-'Cash Flow - FY'!E8</f>
        <v>340.4</v>
      </c>
      <c r="F49" s="52">
        <f>-'Cash Flow - FY'!F8</f>
        <v>342.3</v>
      </c>
      <c r="G49" s="52">
        <f>-'Cash Flow - FY'!G8</f>
        <v>489.4</v>
      </c>
      <c r="H49" s="52">
        <f>-'Cash Flow - FY'!H8</f>
        <v>463.4</v>
      </c>
      <c r="I49" s="52">
        <f>-'Cash Flow - FY'!I8</f>
        <v>390.5</v>
      </c>
      <c r="J49" s="52">
        <f>-'Cash Flow - FY'!J8</f>
        <v>140</v>
      </c>
      <c r="K49" s="52">
        <f>-'Cash Flow - FY'!K8</f>
        <v>345.6</v>
      </c>
      <c r="L49" s="52">
        <f>-'Cash Flow - FY'!L8</f>
        <v>397.7</v>
      </c>
      <c r="M49" s="177"/>
    </row>
    <row r="50" spans="1:13" s="22" customFormat="1" collapsed="1" x14ac:dyDescent="0.2">
      <c r="A50" s="38" t="s">
        <v>268</v>
      </c>
      <c r="B50" s="38"/>
      <c r="C50" s="47">
        <f t="shared" ref="C50:L50" si="13">IFERROR(C14-C49,"n.a.")</f>
        <v>592.25</v>
      </c>
      <c r="D50" s="47">
        <f t="shared" si="13"/>
        <v>671.85899999999992</v>
      </c>
      <c r="E50" s="47">
        <f t="shared" si="13"/>
        <v>741.90700000000004</v>
      </c>
      <c r="F50" s="47">
        <f t="shared" si="13"/>
        <v>740.00700000000006</v>
      </c>
      <c r="G50" s="47">
        <f t="shared" si="13"/>
        <v>648.30000000000007</v>
      </c>
      <c r="H50" s="47">
        <f t="shared" si="13"/>
        <v>771.30000000000007</v>
      </c>
      <c r="I50" s="47">
        <f t="shared" si="13"/>
        <v>919.58500000000004</v>
      </c>
      <c r="J50" s="47">
        <f t="shared" si="13"/>
        <v>752.63400000000001</v>
      </c>
      <c r="K50" s="47">
        <f t="shared" si="13"/>
        <v>865.1149999999999</v>
      </c>
      <c r="L50" s="47">
        <f t="shared" si="13"/>
        <v>1010.646</v>
      </c>
    </row>
    <row r="51" spans="1:13" x14ac:dyDescent="0.2">
      <c r="A51" s="164" t="s">
        <v>219</v>
      </c>
      <c r="B51" s="164"/>
      <c r="C51" s="54">
        <f t="shared" ref="C51:I51" si="14">IFERROR(C50/C14,"n.a.")</f>
        <v>0.66566035530359047</v>
      </c>
      <c r="D51" s="54">
        <f t="shared" si="14"/>
        <v>0.65780886054756449</v>
      </c>
      <c r="E51" s="54">
        <f t="shared" si="14"/>
        <v>0.68548665027575362</v>
      </c>
      <c r="F51" s="54">
        <f t="shared" si="14"/>
        <v>0.6837311409794079</v>
      </c>
      <c r="G51" s="54">
        <f t="shared" si="14"/>
        <v>0.56983387536257368</v>
      </c>
      <c r="H51" s="54">
        <f t="shared" si="14"/>
        <v>0.62468615858103183</v>
      </c>
      <c r="I51" s="54">
        <f t="shared" si="14"/>
        <v>0.7019277375132148</v>
      </c>
      <c r="J51" s="54">
        <f>IFERROR(J50/J14,"n.a.")</f>
        <v>0.84316080274782279</v>
      </c>
      <c r="K51" s="54">
        <f>IFERROR(K50/K14,"n.a.")</f>
        <v>0.71454884097413507</v>
      </c>
      <c r="L51" s="54">
        <f>IFERROR(L50/L14,"n.a.")</f>
        <v>0.71761200727662089</v>
      </c>
    </row>
    <row r="52" spans="1:13" x14ac:dyDescent="0.2">
      <c r="A52" s="55"/>
      <c r="B52" s="55"/>
      <c r="C52" s="56"/>
      <c r="D52" s="56"/>
      <c r="E52" s="56"/>
      <c r="F52" s="56"/>
      <c r="G52" s="56"/>
      <c r="H52" s="56"/>
      <c r="I52" s="56"/>
      <c r="J52" s="56"/>
      <c r="K52" s="56"/>
      <c r="L52" s="56"/>
    </row>
    <row r="53" spans="1:13" s="22" customFormat="1" x14ac:dyDescent="0.2">
      <c r="A53" s="34" t="s">
        <v>59</v>
      </c>
      <c r="B53" s="34"/>
      <c r="C53" s="57">
        <f>'Balance Sheet - FY'!C9</f>
        <v>1038.0159999999996</v>
      </c>
      <c r="D53" s="57">
        <f>'Balance Sheet - FY'!D9</f>
        <v>1240.5170000000005</v>
      </c>
      <c r="E53" s="57">
        <f>'Balance Sheet - FY'!E9</f>
        <v>4960.6549999999997</v>
      </c>
      <c r="F53" s="57">
        <f>'Balance Sheet - FY'!F9</f>
        <v>4912.831000000001</v>
      </c>
      <c r="G53" s="71">
        <f>'Balance Sheet - FY'!G9</f>
        <v>3218.4949999999994</v>
      </c>
      <c r="H53" s="71">
        <f>'Balance Sheet - FY'!H9</f>
        <v>3180.1300000000006</v>
      </c>
      <c r="I53" s="71">
        <f>'Balance Sheet - FY'!I9</f>
        <v>3507.2249999999999</v>
      </c>
      <c r="J53" s="71">
        <f>'Balance Sheet - FY'!J9</f>
        <v>3258.375</v>
      </c>
      <c r="K53" s="71">
        <f>'Balance Sheet - FY'!K9</f>
        <v>2907.1159999999995</v>
      </c>
      <c r="L53" s="71">
        <f>'Balance Sheet - FY'!L9</f>
        <v>2552.6343339999999</v>
      </c>
    </row>
    <row r="54" spans="1:13" x14ac:dyDescent="0.2">
      <c r="A54" s="219" t="s">
        <v>318</v>
      </c>
      <c r="B54" s="53"/>
      <c r="C54" s="58">
        <f t="shared" ref="C54:H54" si="15">IFERROR(C53/C11,"n.a.")</f>
        <v>1.1666797794357309</v>
      </c>
      <c r="D54" s="58">
        <f t="shared" si="15"/>
        <v>1.214574894821508</v>
      </c>
      <c r="E54" s="58">
        <f t="shared" si="15"/>
        <v>4.5834084044545582</v>
      </c>
      <c r="F54" s="58">
        <f t="shared" si="15"/>
        <v>4.5392213115132778</v>
      </c>
      <c r="G54" s="58">
        <f t="shared" si="15"/>
        <v>2.7389115819930212</v>
      </c>
      <c r="H54" s="185">
        <f t="shared" si="15"/>
        <v>2.4862246892346183</v>
      </c>
      <c r="I54" s="185">
        <f>IFERROR(I53/I14,"n.a.")</f>
        <v>2.6770972875805765</v>
      </c>
      <c r="J54" s="185">
        <f>IFERROR(J53/J14,"n.a.")</f>
        <v>3.650292281046879</v>
      </c>
      <c r="K54" s="185">
        <f>IFERROR(K53/K14,"n.a.")</f>
        <v>2.4011563415006831</v>
      </c>
      <c r="L54" s="185">
        <f>IFERROR(L53/L14,"n.a.")</f>
        <v>1.8125051187705292</v>
      </c>
    </row>
    <row r="55" spans="1:13" x14ac:dyDescent="0.2">
      <c r="A55" s="55"/>
      <c r="B55" s="55"/>
      <c r="C55" s="56"/>
      <c r="D55" s="56"/>
      <c r="E55" s="56"/>
      <c r="F55" s="56"/>
      <c r="G55" s="56"/>
      <c r="H55" s="56"/>
      <c r="I55" s="56"/>
      <c r="J55" s="56"/>
      <c r="K55" s="56"/>
      <c r="L55" s="56"/>
    </row>
    <row r="56" spans="1:13" s="22" customFormat="1" x14ac:dyDescent="0.2">
      <c r="A56" s="38" t="s">
        <v>23</v>
      </c>
      <c r="B56" s="38"/>
      <c r="C56" s="39">
        <v>180.61199999999999</v>
      </c>
      <c r="D56" s="39">
        <v>187.06700000000001</v>
      </c>
      <c r="E56" s="39">
        <v>208.614</v>
      </c>
      <c r="F56" s="39">
        <v>208.614</v>
      </c>
      <c r="G56" s="39">
        <v>221.5</v>
      </c>
      <c r="H56" s="39">
        <v>219</v>
      </c>
      <c r="I56" s="39">
        <v>232.5</v>
      </c>
      <c r="J56" s="63">
        <v>194.6</v>
      </c>
      <c r="K56" s="63">
        <v>240.4</v>
      </c>
      <c r="L56" s="63">
        <v>263.89999999999998</v>
      </c>
    </row>
    <row r="57" spans="1:13" x14ac:dyDescent="0.2">
      <c r="A57" s="60" t="s">
        <v>119</v>
      </c>
      <c r="B57" s="60"/>
      <c r="C57" s="48">
        <v>174.5</v>
      </c>
      <c r="D57" s="48">
        <v>176.5</v>
      </c>
      <c r="E57" s="48">
        <v>191</v>
      </c>
      <c r="F57" s="48">
        <v>191</v>
      </c>
      <c r="G57" s="48">
        <v>199.9</v>
      </c>
      <c r="H57" s="48">
        <v>202.9</v>
      </c>
      <c r="I57" s="48">
        <v>215.7</v>
      </c>
      <c r="J57" s="66">
        <v>182.5</v>
      </c>
      <c r="K57" s="66">
        <v>225.1</v>
      </c>
      <c r="L57" s="66">
        <v>247.1</v>
      </c>
    </row>
    <row r="58" spans="1:13" x14ac:dyDescent="0.2">
      <c r="A58" s="165" t="s">
        <v>220</v>
      </c>
      <c r="B58" s="165"/>
      <c r="C58" s="49">
        <f t="shared" ref="C58:I59" si="16">IFERROR(C56/C7,"n.a.")</f>
        <v>4.0316033487317257E-2</v>
      </c>
      <c r="D58" s="49">
        <f t="shared" si="16"/>
        <v>3.9091218555116748E-2</v>
      </c>
      <c r="E58" s="49">
        <f t="shared" si="16"/>
        <v>4.1920699236957834E-2</v>
      </c>
      <c r="F58" s="49">
        <f t="shared" si="16"/>
        <v>4.1920699236957834E-2</v>
      </c>
      <c r="G58" s="49">
        <f t="shared" si="16"/>
        <v>4.1384263442318749E-2</v>
      </c>
      <c r="H58" s="49">
        <f t="shared" si="16"/>
        <v>4.2160269086473592E-2</v>
      </c>
      <c r="I58" s="49">
        <f t="shared" si="16"/>
        <v>4.3677941963005062E-2</v>
      </c>
      <c r="J58" s="49">
        <f t="shared" ref="J58:L59" si="17">IFERROR(J56/J7,"n.a.")</f>
        <v>4.523339712342557E-2</v>
      </c>
      <c r="K58" s="49">
        <f t="shared" si="17"/>
        <v>4.5090922732089769E-2</v>
      </c>
      <c r="L58" s="49">
        <f t="shared" si="17"/>
        <v>3.9889958734525444E-2</v>
      </c>
    </row>
    <row r="59" spans="1:13" x14ac:dyDescent="0.2">
      <c r="A59" s="165" t="s">
        <v>221</v>
      </c>
      <c r="B59" s="165"/>
      <c r="C59" s="49">
        <f t="shared" si="16"/>
        <v>8.5759626333758776E-2</v>
      </c>
      <c r="D59" s="49">
        <f t="shared" si="16"/>
        <v>7.1052376269230944E-2</v>
      </c>
      <c r="E59" s="49">
        <f t="shared" si="16"/>
        <v>6.9332268544566852E-2</v>
      </c>
      <c r="F59" s="49">
        <f t="shared" si="16"/>
        <v>6.9332268544566852E-2</v>
      </c>
      <c r="G59" s="49">
        <f t="shared" si="16"/>
        <v>6.4919164436119087E-2</v>
      </c>
      <c r="H59" s="49">
        <f t="shared" si="16"/>
        <v>6.1300649321614199E-2</v>
      </c>
      <c r="I59" s="49">
        <f t="shared" si="16"/>
        <v>6.0933459927280983E-2</v>
      </c>
      <c r="J59" s="49">
        <f t="shared" si="17"/>
        <v>6.0234621276056423E-2</v>
      </c>
      <c r="K59" s="49">
        <f t="shared" si="17"/>
        <v>5.9582246660972248E-2</v>
      </c>
      <c r="L59" s="49">
        <f t="shared" si="17"/>
        <v>5.2671327294000432E-2</v>
      </c>
    </row>
    <row r="61" spans="1:13" x14ac:dyDescent="0.2">
      <c r="F61" s="180"/>
      <c r="G61" s="180"/>
      <c r="H61" s="180"/>
      <c r="I61" s="180"/>
      <c r="J61" s="180"/>
      <c r="K61" s="180"/>
      <c r="L61" s="180"/>
    </row>
    <row r="62" spans="1:13" ht="25.5" customHeight="1" x14ac:dyDescent="0.2">
      <c r="A62" s="259" t="s">
        <v>222</v>
      </c>
      <c r="B62" s="259"/>
      <c r="C62" s="259"/>
      <c r="D62" s="259"/>
      <c r="E62" s="259"/>
      <c r="F62" s="259"/>
      <c r="G62" s="259"/>
      <c r="H62" s="259"/>
      <c r="I62" s="259"/>
      <c r="J62" s="259"/>
      <c r="K62" s="259"/>
      <c r="L62" s="259"/>
    </row>
    <row r="63" spans="1:13" ht="25.5" customHeight="1" x14ac:dyDescent="0.2">
      <c r="A63" s="259" t="s">
        <v>242</v>
      </c>
      <c r="B63" s="259"/>
      <c r="C63" s="259"/>
      <c r="D63" s="259"/>
      <c r="E63" s="259"/>
      <c r="F63" s="259"/>
      <c r="G63" s="259"/>
      <c r="H63" s="259"/>
      <c r="I63" s="259"/>
      <c r="J63" s="259"/>
      <c r="K63" s="259"/>
      <c r="L63" s="259"/>
    </row>
    <row r="64" spans="1:13" ht="25.5" customHeight="1" x14ac:dyDescent="0.2">
      <c r="A64" s="259" t="s">
        <v>243</v>
      </c>
      <c r="B64" s="259"/>
      <c r="C64" s="259"/>
      <c r="D64" s="259"/>
      <c r="E64" s="259"/>
      <c r="F64" s="259"/>
      <c r="G64" s="259"/>
      <c r="H64" s="259"/>
      <c r="I64" s="259"/>
      <c r="J64" s="259"/>
      <c r="K64" s="259"/>
      <c r="L64" s="259"/>
    </row>
    <row r="65" spans="1:12" ht="12.75" customHeight="1" x14ac:dyDescent="0.2">
      <c r="A65" s="259" t="s">
        <v>223</v>
      </c>
      <c r="B65" s="259"/>
      <c r="C65" s="259"/>
      <c r="D65" s="259"/>
      <c r="E65" s="259"/>
      <c r="F65" s="259"/>
      <c r="G65" s="259"/>
      <c r="H65" s="259"/>
      <c r="I65" s="259"/>
      <c r="J65" s="259"/>
      <c r="K65" s="259"/>
      <c r="L65" s="259"/>
    </row>
    <row r="66" spans="1:12" x14ac:dyDescent="0.2">
      <c r="A66" s="259" t="s">
        <v>224</v>
      </c>
      <c r="B66" s="259"/>
      <c r="C66" s="259"/>
      <c r="D66" s="259"/>
      <c r="E66" s="259"/>
      <c r="F66" s="259"/>
      <c r="G66" s="259"/>
      <c r="H66" s="259"/>
      <c r="I66" s="259"/>
      <c r="J66" s="259"/>
      <c r="K66" s="259"/>
      <c r="L66" s="259"/>
    </row>
    <row r="67" spans="1:12" ht="25.5" customHeight="1" x14ac:dyDescent="0.2">
      <c r="A67" s="259" t="s">
        <v>225</v>
      </c>
      <c r="B67" s="259"/>
      <c r="C67" s="259"/>
      <c r="D67" s="259"/>
      <c r="E67" s="259"/>
      <c r="F67" s="259"/>
      <c r="G67" s="259"/>
      <c r="H67" s="259"/>
      <c r="I67" s="259"/>
      <c r="J67" s="259"/>
      <c r="K67" s="259"/>
      <c r="L67" s="259"/>
    </row>
    <row r="68" spans="1:12" x14ac:dyDescent="0.2">
      <c r="A68" s="259" t="s">
        <v>367</v>
      </c>
      <c r="B68" s="259"/>
      <c r="C68" s="259"/>
      <c r="D68" s="259"/>
      <c r="E68" s="259"/>
      <c r="F68" s="259"/>
      <c r="G68" s="259"/>
      <c r="H68" s="259"/>
      <c r="I68" s="259"/>
      <c r="J68" s="259"/>
      <c r="K68" s="259"/>
      <c r="L68" s="259"/>
    </row>
    <row r="70" spans="1:12" x14ac:dyDescent="0.2">
      <c r="C70" s="180"/>
      <c r="D70" s="180"/>
      <c r="E70" s="180"/>
      <c r="F70" s="180"/>
      <c r="G70" s="180"/>
      <c r="H70" s="180"/>
      <c r="I70" s="180"/>
      <c r="J70" s="180"/>
      <c r="K70" s="180"/>
      <c r="L70" s="180"/>
    </row>
  </sheetData>
  <mergeCells count="7">
    <mergeCell ref="A67:L67"/>
    <mergeCell ref="A68:L68"/>
    <mergeCell ref="A63:L63"/>
    <mergeCell ref="A62:L62"/>
    <mergeCell ref="A64:L64"/>
    <mergeCell ref="A65:L65"/>
    <mergeCell ref="A66:L66"/>
  </mergeCells>
  <pageMargins left="0" right="0" top="0" bottom="0" header="0" footer="0"/>
  <pageSetup paperSize="9" scale="68" orientation="portrait" r:id="rId1"/>
  <ignoredErrors>
    <ignoredError sqref="H46 I9 J46 K31"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pageSetUpPr fitToPage="1"/>
  </sheetPr>
  <dimension ref="A1:BG55"/>
  <sheetViews>
    <sheetView showGridLines="0" zoomScale="79" zoomScaleNormal="110" zoomScaleSheetLayoutView="100" workbookViewId="0">
      <pane xSplit="2" ySplit="6" topLeftCell="C7" activePane="bottomRight" state="frozen"/>
      <selection pane="topRight" activeCell="C1" sqref="C1"/>
      <selection pane="bottomLeft" activeCell="A7" sqref="A7"/>
      <selection pane="bottomRight"/>
    </sheetView>
  </sheetViews>
  <sheetFormatPr defaultColWidth="9.625" defaultRowHeight="12.75" outlineLevelRow="2" outlineLevelCol="2" x14ac:dyDescent="0.2"/>
  <cols>
    <col min="1" max="1" width="63.625" style="2" customWidth="1"/>
    <col min="2" max="2" width="1.375" style="37" customWidth="1"/>
    <col min="3" max="4" width="9.625" style="37" hidden="1" customWidth="1" outlineLevel="1"/>
    <col min="5" max="5" width="9.625" style="37" hidden="1" customWidth="1" outlineLevel="2"/>
    <col min="6" max="6" width="9.625" style="37" hidden="1" customWidth="1" outlineLevel="1"/>
    <col min="7" max="7" width="9.625" style="37" hidden="1" customWidth="1" outlineLevel="2"/>
    <col min="8" max="8" width="9.625" style="37" hidden="1" customWidth="1" outlineLevel="1"/>
    <col min="9" max="9" width="9.625" style="37" hidden="1" customWidth="1" outlineLevel="2"/>
    <col min="10" max="11" width="9.625" style="37" hidden="1" customWidth="1" outlineLevel="1"/>
    <col min="12" max="12" width="9.625" style="37" hidden="1" customWidth="1" outlineLevel="2"/>
    <col min="13" max="13" width="9.625" style="37" hidden="1" customWidth="1" outlineLevel="1"/>
    <col min="14" max="14" width="9.625" style="37" hidden="1" customWidth="1" outlineLevel="2"/>
    <col min="15" max="15" width="9.625" style="37" hidden="1" customWidth="1" outlineLevel="1"/>
    <col min="16" max="16" width="9.625" style="37" hidden="1" customWidth="1" outlineLevel="2"/>
    <col min="17" max="18" width="9.625" style="37" hidden="1" customWidth="1" outlineLevel="1"/>
    <col min="19" max="19" width="9.625" style="37" hidden="1" customWidth="1" outlineLevel="2"/>
    <col min="20" max="21" width="9.625" style="37" hidden="1" customWidth="1" outlineLevel="1"/>
    <col min="22" max="22" width="9.625" style="37" hidden="1" customWidth="1" outlineLevel="1" collapsed="1"/>
    <col min="23" max="25" width="9.625" style="37" hidden="1" customWidth="1" outlineLevel="1"/>
    <col min="26" max="26" width="9.625" style="37" hidden="1" customWidth="1" outlineLevel="2"/>
    <col min="27" max="27" width="9.625" style="37" hidden="1" customWidth="1" outlineLevel="1"/>
    <col min="28" max="28" width="9.625" style="37" hidden="1" customWidth="1" outlineLevel="2"/>
    <col min="29" max="29" width="9.625" style="37" hidden="1" customWidth="1" outlineLevel="1"/>
    <col min="30" max="30" width="9.625" style="37" hidden="1" customWidth="1" outlineLevel="2"/>
    <col min="31" max="31" width="9.625" style="37" customWidth="1" collapsed="1"/>
    <col min="32" max="32" width="9.625" style="37" customWidth="1"/>
    <col min="33" max="33" width="9.625" style="37" hidden="1" customWidth="1" outlineLevel="1"/>
    <col min="34" max="34" width="9.625" style="37" customWidth="1" collapsed="1"/>
    <col min="35" max="35" width="9.625" style="37" hidden="1" customWidth="1" outlineLevel="1"/>
    <col min="36" max="36" width="9.625" style="37" customWidth="1" collapsed="1"/>
    <col min="37" max="37" width="9.625" style="37" hidden="1" customWidth="1" outlineLevel="1"/>
    <col min="38" max="38" width="9.625" style="37" customWidth="1" collapsed="1"/>
    <col min="39" max="39" width="9.625" style="37" customWidth="1"/>
    <col min="40" max="40" width="9.625" style="37" hidden="1" customWidth="1" outlineLevel="1"/>
    <col min="41" max="41" width="9.625" style="37" customWidth="1" collapsed="1"/>
    <col min="42" max="42" width="9.625" style="37" hidden="1" customWidth="1" outlineLevel="1"/>
    <col min="43" max="43" width="9.625" style="37" customWidth="1" collapsed="1"/>
    <col min="44" max="44" width="9.625" style="37" hidden="1" customWidth="1" outlineLevel="1"/>
    <col min="45" max="45" width="9.625" style="37" customWidth="1" collapsed="1"/>
    <col min="46" max="46" width="9.625" style="2" customWidth="1"/>
    <col min="47" max="47" width="9.625" style="2" hidden="1" customWidth="1" outlineLevel="1"/>
    <col min="48" max="48" width="9.625" style="37" customWidth="1" collapsed="1"/>
    <col min="49" max="49" width="9.625" style="37" hidden="1" customWidth="1" outlineLevel="1"/>
    <col min="50" max="50" width="9.625" style="37" collapsed="1"/>
    <col min="51" max="51" width="9.625" style="37" hidden="1" customWidth="1" outlineLevel="1"/>
    <col min="52" max="52" width="9.625" style="37" collapsed="1"/>
    <col min="53" max="53" width="9.625" style="2"/>
    <col min="54" max="54" width="9.625" style="2" hidden="1" customWidth="1" outlineLevel="1"/>
    <col min="55" max="55" width="9.625" style="37" collapsed="1"/>
    <col min="56" max="56" width="9.625" style="37" hidden="1" customWidth="1" outlineLevel="1"/>
    <col min="57" max="57" width="9.625" style="2" collapsed="1"/>
    <col min="58" max="58" width="9.625" style="2"/>
    <col min="59" max="59" width="15" style="2" bestFit="1" customWidth="1"/>
    <col min="60" max="16384" width="9.625" style="2"/>
  </cols>
  <sheetData>
    <row r="1" spans="1:56" s="8" customFormat="1" ht="27.75" customHeight="1" x14ac:dyDescent="0.2">
      <c r="A1" s="8" t="s">
        <v>193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V1" s="9"/>
      <c r="AW1" s="9"/>
      <c r="AX1" s="9"/>
      <c r="AY1" s="9"/>
      <c r="AZ1" s="9"/>
      <c r="BC1" s="9"/>
      <c r="BD1" s="9"/>
    </row>
    <row r="2" spans="1:56" x14ac:dyDescent="0.2">
      <c r="A2" s="30" t="s">
        <v>190</v>
      </c>
      <c r="Y2" s="180"/>
      <c r="Z2" s="180"/>
      <c r="AC2" s="180"/>
      <c r="AF2" s="180"/>
      <c r="AG2" s="180"/>
      <c r="AH2" s="180"/>
      <c r="AI2" s="180"/>
      <c r="AJ2" s="180"/>
      <c r="AK2" s="180"/>
      <c r="AM2" s="180"/>
      <c r="AN2" s="180"/>
      <c r="AO2" s="180"/>
      <c r="AP2" s="180"/>
      <c r="AQ2" s="180"/>
      <c r="AR2" s="180"/>
      <c r="AS2" s="180"/>
      <c r="AV2" s="180"/>
      <c r="AW2" s="180"/>
      <c r="AX2" s="248"/>
      <c r="AY2" s="248"/>
      <c r="AZ2" s="180"/>
      <c r="BC2" s="180"/>
      <c r="BD2" s="180"/>
    </row>
    <row r="3" spans="1:56" x14ac:dyDescent="0.2">
      <c r="BA3" s="155"/>
      <c r="BB3" s="155"/>
    </row>
    <row r="4" spans="1:56" s="22" customFormat="1" ht="13.5" thickBot="1" x14ac:dyDescent="0.25">
      <c r="A4" s="11" t="s">
        <v>148</v>
      </c>
      <c r="B4" s="13"/>
      <c r="C4" s="13" t="s">
        <v>163</v>
      </c>
      <c r="D4" s="13" t="s">
        <v>170</v>
      </c>
      <c r="E4" s="13" t="s">
        <v>162</v>
      </c>
      <c r="F4" s="13" t="s">
        <v>171</v>
      </c>
      <c r="G4" s="13" t="s">
        <v>121</v>
      </c>
      <c r="H4" s="13" t="s">
        <v>169</v>
      </c>
      <c r="I4" s="13" t="s">
        <v>26</v>
      </c>
      <c r="J4" s="13" t="s">
        <v>167</v>
      </c>
      <c r="K4" s="171" t="s">
        <v>166</v>
      </c>
      <c r="L4" s="171" t="s">
        <v>165</v>
      </c>
      <c r="M4" s="171" t="s">
        <v>164</v>
      </c>
      <c r="N4" s="13" t="s">
        <v>122</v>
      </c>
      <c r="O4" s="13" t="s">
        <v>168</v>
      </c>
      <c r="P4" s="13" t="s">
        <v>161</v>
      </c>
      <c r="Q4" s="13" t="s">
        <v>234</v>
      </c>
      <c r="R4" s="171" t="s">
        <v>245</v>
      </c>
      <c r="S4" s="171" t="s">
        <v>248</v>
      </c>
      <c r="T4" s="171" t="s">
        <v>260</v>
      </c>
      <c r="U4" s="171" t="s">
        <v>259</v>
      </c>
      <c r="V4" s="13" t="s">
        <v>262</v>
      </c>
      <c r="W4" s="13" t="s">
        <v>261</v>
      </c>
      <c r="X4" s="13" t="s">
        <v>271</v>
      </c>
      <c r="Y4" s="171" t="s">
        <v>296</v>
      </c>
      <c r="Z4" s="171" t="s">
        <v>297</v>
      </c>
      <c r="AA4" s="171" t="s">
        <v>301</v>
      </c>
      <c r="AB4" s="171" t="s">
        <v>302</v>
      </c>
      <c r="AC4" s="13" t="s">
        <v>304</v>
      </c>
      <c r="AD4" s="13" t="s">
        <v>303</v>
      </c>
      <c r="AE4" s="13" t="s">
        <v>316</v>
      </c>
      <c r="AF4" s="171" t="s">
        <v>322</v>
      </c>
      <c r="AG4" s="171" t="s">
        <v>323</v>
      </c>
      <c r="AH4" s="171" t="s">
        <v>325</v>
      </c>
      <c r="AI4" s="171" t="s">
        <v>326</v>
      </c>
      <c r="AJ4" s="13" t="s">
        <v>328</v>
      </c>
      <c r="AK4" s="13" t="s">
        <v>327</v>
      </c>
      <c r="AL4" s="13" t="s">
        <v>354</v>
      </c>
      <c r="AM4" s="171" t="s">
        <v>359</v>
      </c>
      <c r="AN4" s="171" t="s">
        <v>360</v>
      </c>
      <c r="AO4" s="171" t="s">
        <v>363</v>
      </c>
      <c r="AP4" s="171" t="s">
        <v>364</v>
      </c>
      <c r="AQ4" s="13" t="s">
        <v>366</v>
      </c>
      <c r="AR4" s="13" t="s">
        <v>371</v>
      </c>
      <c r="AS4" s="13" t="s">
        <v>372</v>
      </c>
      <c r="AT4" s="13" t="s">
        <v>378</v>
      </c>
      <c r="AU4" s="13" t="s">
        <v>379</v>
      </c>
      <c r="AV4" s="171" t="s">
        <v>381</v>
      </c>
      <c r="AW4" s="171" t="s">
        <v>382</v>
      </c>
      <c r="AX4" s="13" t="s">
        <v>384</v>
      </c>
      <c r="AY4" s="13" t="s">
        <v>383</v>
      </c>
      <c r="AZ4" s="13" t="s">
        <v>386</v>
      </c>
      <c r="BA4" s="13" t="s">
        <v>387</v>
      </c>
      <c r="BB4" s="13" t="s">
        <v>388</v>
      </c>
      <c r="BC4" s="171" t="s">
        <v>391</v>
      </c>
      <c r="BD4" s="171" t="s">
        <v>392</v>
      </c>
    </row>
    <row r="5" spans="1:56" x14ac:dyDescent="0.2">
      <c r="C5" s="37" t="s">
        <v>189</v>
      </c>
      <c r="D5" s="37" t="s">
        <v>189</v>
      </c>
      <c r="E5" s="37" t="s">
        <v>176</v>
      </c>
      <c r="F5" s="37" t="s">
        <v>189</v>
      </c>
      <c r="G5" s="37" t="s">
        <v>189</v>
      </c>
      <c r="H5" s="37" t="s">
        <v>189</v>
      </c>
      <c r="I5" s="37" t="s">
        <v>189</v>
      </c>
      <c r="J5" s="37" t="s">
        <v>175</v>
      </c>
      <c r="K5" s="172" t="s">
        <v>251</v>
      </c>
      <c r="L5" s="172" t="s">
        <v>176</v>
      </c>
      <c r="M5" s="172" t="s">
        <v>252</v>
      </c>
      <c r="N5" s="37" t="s">
        <v>175</v>
      </c>
      <c r="O5" s="37" t="s">
        <v>175</v>
      </c>
      <c r="P5" s="37" t="s">
        <v>175</v>
      </c>
      <c r="Q5" s="37" t="s">
        <v>175</v>
      </c>
      <c r="R5" s="37" t="s">
        <v>175</v>
      </c>
      <c r="S5" s="37" t="s">
        <v>175</v>
      </c>
      <c r="T5" s="37" t="s">
        <v>175</v>
      </c>
      <c r="U5" s="37" t="s">
        <v>175</v>
      </c>
      <c r="V5" s="37" t="s">
        <v>175</v>
      </c>
      <c r="W5" s="37" t="s">
        <v>175</v>
      </c>
      <c r="X5" s="37" t="s">
        <v>175</v>
      </c>
      <c r="Y5" s="37" t="s">
        <v>175</v>
      </c>
      <c r="Z5" s="37" t="s">
        <v>175</v>
      </c>
      <c r="AA5" s="37" t="s">
        <v>175</v>
      </c>
      <c r="AB5" s="37" t="s">
        <v>175</v>
      </c>
      <c r="AC5" s="37" t="s">
        <v>175</v>
      </c>
      <c r="AD5" s="37" t="s">
        <v>175</v>
      </c>
      <c r="AE5" s="37" t="s">
        <v>175</v>
      </c>
      <c r="AF5" s="37" t="s">
        <v>175</v>
      </c>
      <c r="AG5" s="37" t="s">
        <v>175</v>
      </c>
      <c r="AH5" s="37" t="s">
        <v>175</v>
      </c>
      <c r="AI5" s="37" t="s">
        <v>175</v>
      </c>
      <c r="AJ5" s="37" t="s">
        <v>175</v>
      </c>
      <c r="AK5" s="37" t="s">
        <v>175</v>
      </c>
      <c r="AL5" s="37" t="s">
        <v>175</v>
      </c>
      <c r="AM5" s="37" t="s">
        <v>175</v>
      </c>
      <c r="AN5" s="37" t="s">
        <v>175</v>
      </c>
      <c r="AO5" s="37" t="s">
        <v>175</v>
      </c>
      <c r="AP5" s="37" t="s">
        <v>175</v>
      </c>
      <c r="AQ5" s="37" t="s">
        <v>175</v>
      </c>
      <c r="AR5" s="37" t="s">
        <v>175</v>
      </c>
      <c r="AS5" s="37" t="s">
        <v>175</v>
      </c>
      <c r="AT5" s="37" t="s">
        <v>175</v>
      </c>
      <c r="AU5" s="37" t="s">
        <v>175</v>
      </c>
      <c r="AV5" s="37" t="s">
        <v>175</v>
      </c>
      <c r="AW5" s="37" t="s">
        <v>175</v>
      </c>
      <c r="AX5" s="37" t="s">
        <v>175</v>
      </c>
      <c r="AY5" s="37" t="s">
        <v>175</v>
      </c>
      <c r="AZ5" s="37" t="s">
        <v>175</v>
      </c>
      <c r="BA5" s="37" t="s">
        <v>175</v>
      </c>
      <c r="BB5" s="37" t="s">
        <v>175</v>
      </c>
      <c r="BC5" s="37" t="s">
        <v>175</v>
      </c>
      <c r="BD5" s="37" t="s">
        <v>175</v>
      </c>
    </row>
    <row r="6" spans="1:56" x14ac:dyDescent="0.2">
      <c r="AT6" s="37"/>
      <c r="AU6" s="37"/>
      <c r="BA6" s="37"/>
      <c r="BB6" s="37"/>
    </row>
    <row r="7" spans="1:56" s="22" customFormat="1" x14ac:dyDescent="0.2">
      <c r="A7" s="99" t="s">
        <v>187</v>
      </c>
      <c r="B7" s="100"/>
      <c r="C7" s="101">
        <v>1180.9000000000001</v>
      </c>
      <c r="D7" s="102">
        <f>E7-C7</f>
        <v>1246</v>
      </c>
      <c r="E7" s="101">
        <v>2426.9</v>
      </c>
      <c r="F7" s="102">
        <f>G7-E7</f>
        <v>1279.5999999999999</v>
      </c>
      <c r="G7" s="101">
        <v>3706.5</v>
      </c>
      <c r="H7" s="102">
        <f>I7-G7</f>
        <v>1269.8959999999997</v>
      </c>
      <c r="I7" s="103">
        <f>'Fin. Highlights - FY'!F7</f>
        <v>4976.3959999999997</v>
      </c>
      <c r="J7" s="101">
        <v>1339.3000000000002</v>
      </c>
      <c r="K7" s="102">
        <f>L7-J7</f>
        <v>1345.9999999999995</v>
      </c>
      <c r="L7" s="101">
        <v>2685.2999999999997</v>
      </c>
      <c r="M7" s="102">
        <f>N7-L7</f>
        <v>1353.2000000000003</v>
      </c>
      <c r="N7" s="101">
        <v>4038.5</v>
      </c>
      <c r="O7" s="102">
        <f>P7-N7</f>
        <v>1313.7759999999998</v>
      </c>
      <c r="P7" s="103">
        <f>'Fin. Highlights - FY'!G7</f>
        <v>5352.2759999999998</v>
      </c>
      <c r="Q7" s="101">
        <v>1310.2639999999999</v>
      </c>
      <c r="R7" s="102">
        <f>IFERROR(S7-Q7,"n.a.")</f>
        <v>1320.0360000000003</v>
      </c>
      <c r="S7" s="101">
        <v>2630.3</v>
      </c>
      <c r="T7" s="102">
        <f>IFERROR(U7-S7,"n.a.")</f>
        <v>1294.9000000000001</v>
      </c>
      <c r="U7" s="101">
        <v>3925.2000000000003</v>
      </c>
      <c r="V7" s="102">
        <f>IFERROR(W7-U7,"n.a.")</f>
        <v>1269.2640000000006</v>
      </c>
      <c r="W7" s="103">
        <f>'Fin. Highlights - FY'!H7</f>
        <v>5194.4640000000009</v>
      </c>
      <c r="X7" s="101">
        <v>1313.8040000000001</v>
      </c>
      <c r="Y7" s="102">
        <f>IFERROR(Z7-X7,"n.a.")</f>
        <v>1341.0389999999998</v>
      </c>
      <c r="Z7" s="101">
        <v>2654.8429999999998</v>
      </c>
      <c r="AA7" s="102">
        <f>IFERROR(AB7-Z7,"n.a.")</f>
        <v>1381.5410000000002</v>
      </c>
      <c r="AB7" s="101">
        <v>4036.384</v>
      </c>
      <c r="AC7" s="102">
        <f>IFERROR(AD7-AB7,"n.a.")</f>
        <v>1286.6689999999999</v>
      </c>
      <c r="AD7" s="103">
        <f>'Fin. Highlights - FY'!I7</f>
        <v>5323.0529999999999</v>
      </c>
      <c r="AE7" s="101">
        <v>1051.5719999999999</v>
      </c>
      <c r="AF7" s="102">
        <f>IFERROR(AG7-AE7,"n.a.")</f>
        <v>764.8570000000002</v>
      </c>
      <c r="AG7" s="101">
        <v>1816.4290000000001</v>
      </c>
      <c r="AH7" s="102">
        <f>IFERROR(AI7-AG7,"n.a.")</f>
        <v>1277.4009999999998</v>
      </c>
      <c r="AI7" s="101">
        <v>3093.83</v>
      </c>
      <c r="AJ7" s="102">
        <f>IFERROR(AK7-AI7,"n.a.")</f>
        <v>1208.3010000000004</v>
      </c>
      <c r="AK7" s="103">
        <f>'Fin. Highlights - FY'!J7</f>
        <v>4302.1310000000003</v>
      </c>
      <c r="AL7" s="101">
        <v>1244.7149999999999</v>
      </c>
      <c r="AM7" s="102">
        <f>IFERROR(AN7-AL7,"n.a.")</f>
        <v>1320.126</v>
      </c>
      <c r="AN7" s="101">
        <v>2564.8409999999999</v>
      </c>
      <c r="AO7" s="102">
        <f>IFERROR(AP7-AN7+0.05,"n.a.")</f>
        <v>1414.49</v>
      </c>
      <c r="AP7" s="101">
        <v>3979.2809999999999</v>
      </c>
      <c r="AQ7" s="102">
        <f>IFERROR(AR7-AP7,"n.a.")</f>
        <v>1352.1689999999999</v>
      </c>
      <c r="AR7" s="103">
        <f>'Fin. Highlights - FY'!K7</f>
        <v>5331.45</v>
      </c>
      <c r="AS7" s="101">
        <v>1521.0909999999999</v>
      </c>
      <c r="AT7" s="102">
        <f>IFERROR(AU7-AS7,"n.a.")</f>
        <v>1675.866</v>
      </c>
      <c r="AU7" s="101">
        <v>3196.9569999999999</v>
      </c>
      <c r="AV7" s="102">
        <f>IFERROR(AW7-AU7+0.05,"n.a.")</f>
        <v>1836.405</v>
      </c>
      <c r="AW7" s="101">
        <v>5033.3119999999999</v>
      </c>
      <c r="AX7" s="102">
        <f>IFERROR(AY7-AW7,"n.a.")</f>
        <v>1582.3879999999999</v>
      </c>
      <c r="AY7" s="103">
        <f>'Fin. Highlights - FY'!L7</f>
        <v>6615.7</v>
      </c>
      <c r="AZ7" s="101">
        <v>1699.74</v>
      </c>
      <c r="BA7" s="102">
        <f>IFERROR(BB7-AZ7,"n.a.")</f>
        <v>1737.76</v>
      </c>
      <c r="BB7" s="101">
        <v>3437.5</v>
      </c>
      <c r="BC7" s="102">
        <f>IFERROR(BD7-BB7+0.05,"n.a.")</f>
        <v>1722.7809999999997</v>
      </c>
      <c r="BD7" s="101">
        <v>5160.2309999999998</v>
      </c>
    </row>
    <row r="8" spans="1:56" x14ac:dyDescent="0.2">
      <c r="A8" s="60" t="s">
        <v>14</v>
      </c>
      <c r="B8" s="66"/>
      <c r="C8" s="66">
        <v>663.4</v>
      </c>
      <c r="D8" s="78">
        <f>E8-C8</f>
        <v>707.50000000000011</v>
      </c>
      <c r="E8" s="66">
        <v>1370.9</v>
      </c>
      <c r="F8" s="78">
        <f>G8-E8</f>
        <v>705.69999999999982</v>
      </c>
      <c r="G8" s="66">
        <v>2076.6</v>
      </c>
      <c r="H8" s="78">
        <f>I8-G8</f>
        <v>678.25</v>
      </c>
      <c r="I8" s="72">
        <f>'Fin. Highlights - FY'!F8</f>
        <v>2754.85</v>
      </c>
      <c r="J8" s="66">
        <v>775.38</v>
      </c>
      <c r="K8" s="78">
        <f>L8-J8</f>
        <v>786.89</v>
      </c>
      <c r="L8" s="66">
        <v>1562.27</v>
      </c>
      <c r="M8" s="78">
        <f>N8-L8</f>
        <v>782.52799999999979</v>
      </c>
      <c r="N8" s="66">
        <v>2344.7979999999998</v>
      </c>
      <c r="O8" s="78">
        <f>P8-N8</f>
        <v>734.41600000000017</v>
      </c>
      <c r="P8" s="72">
        <f>'Fin. Highlights - FY'!G8</f>
        <v>3079.2139999999999</v>
      </c>
      <c r="Q8" s="66">
        <v>833.87400000000002</v>
      </c>
      <c r="R8" s="78">
        <f>IFERROR(S8-Q8,"n.a.")</f>
        <v>849.82600000000002</v>
      </c>
      <c r="S8" s="66">
        <v>1683.7</v>
      </c>
      <c r="T8" s="78">
        <f>IFERROR(U8-S8,"n.a.")</f>
        <v>846.14200000000005</v>
      </c>
      <c r="U8" s="66">
        <v>2529.8420000000001</v>
      </c>
      <c r="V8" s="78">
        <f>IFERROR(W8-U8,"n.a.")</f>
        <v>780.07400000000007</v>
      </c>
      <c r="W8" s="72">
        <f>'Fin. Highlights - FY'!H8</f>
        <v>3309.9160000000002</v>
      </c>
      <c r="X8" s="66">
        <v>895.024</v>
      </c>
      <c r="Y8" s="78">
        <f>IFERROR(Z8-X8,"n.a.")</f>
        <v>892.60600000000011</v>
      </c>
      <c r="Z8" s="66">
        <v>1787.63</v>
      </c>
      <c r="AA8" s="78">
        <f>IFERROR(AB8-Z8,"n.a.")</f>
        <v>932.28800000000001</v>
      </c>
      <c r="AB8" s="66">
        <v>2719.9180000000001</v>
      </c>
      <c r="AC8" s="78">
        <f>IFERROR(AD8-AB8,"n.a.")</f>
        <v>820.00900000000001</v>
      </c>
      <c r="AD8" s="72">
        <f>'Fin. Highlights - FY'!I8</f>
        <v>3539.9270000000001</v>
      </c>
      <c r="AE8" s="66">
        <v>732.23599999999999</v>
      </c>
      <c r="AF8" s="78">
        <f>IFERROR(AG8-AE8,"n.a.")</f>
        <v>553.44099999999992</v>
      </c>
      <c r="AG8" s="66">
        <v>1285.6769999999999</v>
      </c>
      <c r="AH8" s="78">
        <f>IFERROR(AI8-AG8,"n.a.")</f>
        <v>917.67699999999991</v>
      </c>
      <c r="AI8" s="66">
        <v>2203.3539999999998</v>
      </c>
      <c r="AJ8" s="78">
        <f>IFERROR(AK8-AI8,"n.a.")</f>
        <v>826.46500000000015</v>
      </c>
      <c r="AK8" s="72">
        <f>'Fin. Highlights - FY'!J8</f>
        <v>3029.819</v>
      </c>
      <c r="AL8" s="66">
        <v>903.81500000000005</v>
      </c>
      <c r="AM8" s="78">
        <f>IFERROR(AN8-AL8,"n.a.")</f>
        <v>940.452</v>
      </c>
      <c r="AN8" s="66">
        <v>1844.2670000000001</v>
      </c>
      <c r="AO8" s="78">
        <f>IFERROR(AP8-AN8,"n.a.")</f>
        <v>997.39099999999985</v>
      </c>
      <c r="AP8" s="66">
        <v>2841.6579999999999</v>
      </c>
      <c r="AQ8" s="78">
        <f>IFERROR(AR8-AP8,"n.a.")</f>
        <v>936.3130000000001</v>
      </c>
      <c r="AR8" s="72">
        <f>'Fin. Highlights - FY'!K8</f>
        <v>3777.971</v>
      </c>
      <c r="AS8" s="66">
        <v>1121.3230000000001</v>
      </c>
      <c r="AT8" s="78">
        <f>IFERROR(AU8-AS8,"n.a.")</f>
        <v>1187.6859999999999</v>
      </c>
      <c r="AU8" s="66">
        <v>2309.009</v>
      </c>
      <c r="AV8" s="78">
        <f>IFERROR(AW8-AU8,"n.a.")</f>
        <v>1284.9809999999998</v>
      </c>
      <c r="AW8" s="66">
        <v>3593.99</v>
      </c>
      <c r="AX8" s="78">
        <f>IFERROR(AY8-AW8,"n.a.")</f>
        <v>1097.3670000000002</v>
      </c>
      <c r="AY8" s="72">
        <f>'Fin. Highlights - FY'!L8</f>
        <v>4691.357</v>
      </c>
      <c r="AZ8" s="66">
        <v>1277.1500000000001</v>
      </c>
      <c r="BA8" s="78">
        <f>IFERROR(BB8-AZ8,"n.a.")</f>
        <v>1281.83</v>
      </c>
      <c r="BB8" s="66">
        <v>2558.98</v>
      </c>
      <c r="BC8" s="78">
        <f>IFERROR(BD8-BB8,"n.a.")</f>
        <v>1272.5735732690505</v>
      </c>
      <c r="BD8" s="66">
        <v>3831.5535732690505</v>
      </c>
    </row>
    <row r="9" spans="1:56" x14ac:dyDescent="0.2">
      <c r="A9" s="29" t="s">
        <v>13</v>
      </c>
      <c r="B9" s="67"/>
      <c r="C9" s="79">
        <f t="shared" ref="C9:U9" si="0">IFERROR(C7-C8,"n.a.")</f>
        <v>517.50000000000011</v>
      </c>
      <c r="D9" s="79">
        <f t="shared" si="0"/>
        <v>538.49999999999989</v>
      </c>
      <c r="E9" s="79">
        <f t="shared" si="0"/>
        <v>1056</v>
      </c>
      <c r="F9" s="79">
        <f t="shared" si="0"/>
        <v>573.90000000000009</v>
      </c>
      <c r="G9" s="79">
        <f t="shared" si="0"/>
        <v>1629.9</v>
      </c>
      <c r="H9" s="79">
        <f t="shared" si="0"/>
        <v>591.64599999999973</v>
      </c>
      <c r="I9" s="79">
        <f t="shared" si="0"/>
        <v>2221.5459999999998</v>
      </c>
      <c r="J9" s="79">
        <f t="shared" si="0"/>
        <v>563.92000000000019</v>
      </c>
      <c r="K9" s="79">
        <f t="shared" si="0"/>
        <v>559.10999999999956</v>
      </c>
      <c r="L9" s="79">
        <f t="shared" si="0"/>
        <v>1123.0299999999997</v>
      </c>
      <c r="M9" s="79">
        <f t="shared" si="0"/>
        <v>570.67200000000048</v>
      </c>
      <c r="N9" s="79">
        <f t="shared" si="0"/>
        <v>1693.7020000000002</v>
      </c>
      <c r="O9" s="79">
        <f t="shared" si="0"/>
        <v>579.35999999999967</v>
      </c>
      <c r="P9" s="79">
        <f t="shared" si="0"/>
        <v>2273.0619999999999</v>
      </c>
      <c r="Q9" s="79">
        <f t="shared" si="0"/>
        <v>476.38999999999987</v>
      </c>
      <c r="R9" s="79">
        <f t="shared" si="0"/>
        <v>470.21000000000026</v>
      </c>
      <c r="S9" s="79">
        <f t="shared" si="0"/>
        <v>946.60000000000014</v>
      </c>
      <c r="T9" s="79">
        <f t="shared" si="0"/>
        <v>448.75800000000004</v>
      </c>
      <c r="U9" s="79">
        <f t="shared" si="0"/>
        <v>1395.3580000000002</v>
      </c>
      <c r="V9" s="79">
        <f>IFERROR(V7-V8,"n.a.")+0.1</f>
        <v>489.29000000000053</v>
      </c>
      <c r="W9" s="79">
        <f>IFERROR(W7-W8,"n.a.")+0.1</f>
        <v>1884.6480000000006</v>
      </c>
      <c r="X9" s="79">
        <f t="shared" ref="X9:AY9" si="1">IFERROR(X7-X8,"n.a.")</f>
        <v>418.78000000000009</v>
      </c>
      <c r="Y9" s="79">
        <f t="shared" si="1"/>
        <v>448.43299999999965</v>
      </c>
      <c r="Z9" s="79">
        <f t="shared" si="1"/>
        <v>867.21299999999974</v>
      </c>
      <c r="AA9" s="79">
        <f t="shared" si="1"/>
        <v>449.25300000000016</v>
      </c>
      <c r="AB9" s="79">
        <f t="shared" si="1"/>
        <v>1316.4659999999999</v>
      </c>
      <c r="AC9" s="79">
        <f t="shared" si="1"/>
        <v>466.65999999999985</v>
      </c>
      <c r="AD9" s="79">
        <f t="shared" si="1"/>
        <v>1783.1259999999997</v>
      </c>
      <c r="AE9" s="79">
        <f t="shared" si="1"/>
        <v>319.3359999999999</v>
      </c>
      <c r="AF9" s="79">
        <f t="shared" si="1"/>
        <v>211.41600000000028</v>
      </c>
      <c r="AG9" s="79">
        <f t="shared" si="1"/>
        <v>530.75200000000018</v>
      </c>
      <c r="AH9" s="79">
        <f t="shared" si="1"/>
        <v>359.72399999999993</v>
      </c>
      <c r="AI9" s="79">
        <f t="shared" si="1"/>
        <v>890.47600000000011</v>
      </c>
      <c r="AJ9" s="79">
        <f t="shared" si="1"/>
        <v>381.83600000000024</v>
      </c>
      <c r="AK9" s="79">
        <f t="shared" si="1"/>
        <v>1272.3120000000004</v>
      </c>
      <c r="AL9" s="79">
        <f t="shared" si="1"/>
        <v>340.89999999999986</v>
      </c>
      <c r="AM9" s="79">
        <f t="shared" si="1"/>
        <v>379.67399999999998</v>
      </c>
      <c r="AN9" s="79">
        <f t="shared" si="1"/>
        <v>720.57399999999984</v>
      </c>
      <c r="AO9" s="79">
        <f t="shared" si="1"/>
        <v>417.09900000000016</v>
      </c>
      <c r="AP9" s="79">
        <f t="shared" si="1"/>
        <v>1137.623</v>
      </c>
      <c r="AQ9" s="79">
        <f t="shared" si="1"/>
        <v>415.85599999999977</v>
      </c>
      <c r="AR9" s="79">
        <f t="shared" si="1"/>
        <v>1553.4789999999998</v>
      </c>
      <c r="AS9" s="79">
        <f t="shared" si="1"/>
        <v>399.7679999999998</v>
      </c>
      <c r="AT9" s="79">
        <f t="shared" si="1"/>
        <v>488.18000000000006</v>
      </c>
      <c r="AU9" s="79">
        <f t="shared" si="1"/>
        <v>887.94799999999987</v>
      </c>
      <c r="AV9" s="79">
        <f t="shared" si="1"/>
        <v>551.42400000000021</v>
      </c>
      <c r="AW9" s="79">
        <f t="shared" si="1"/>
        <v>1439.3220000000001</v>
      </c>
      <c r="AX9" s="79">
        <f t="shared" si="1"/>
        <v>485.02099999999973</v>
      </c>
      <c r="AY9" s="79">
        <f t="shared" si="1"/>
        <v>1924.3429999999998</v>
      </c>
      <c r="AZ9" s="79">
        <f>IFERROR(AZ7-AZ8-0.1,"n.a.")</f>
        <v>422.4899999999999</v>
      </c>
      <c r="BA9" s="79">
        <f>IFERROR(BA7-BA8,"n.a.")</f>
        <v>455.93000000000006</v>
      </c>
      <c r="BB9" s="79">
        <f>IFERROR(BB7-BB8,"n.a.")</f>
        <v>878.52</v>
      </c>
      <c r="BC9" s="79">
        <f>IFERROR(BC7-BC8,"n.a.")</f>
        <v>450.20742673094924</v>
      </c>
      <c r="BD9" s="79">
        <f>IFERROR(BD7-BD8,"n.a.")</f>
        <v>1328.6774267309493</v>
      </c>
    </row>
    <row r="10" spans="1:56" x14ac:dyDescent="0.2">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239"/>
      <c r="AM10" s="64"/>
      <c r="AN10" s="64"/>
      <c r="AO10" s="64"/>
      <c r="AP10" s="64"/>
      <c r="AQ10" s="64"/>
      <c r="AR10" s="64"/>
      <c r="AS10" s="239"/>
      <c r="AT10" s="64"/>
      <c r="AU10" s="64"/>
      <c r="AV10" s="64"/>
      <c r="AW10" s="64"/>
      <c r="AX10" s="64"/>
      <c r="AY10" s="64"/>
      <c r="AZ10" s="239"/>
      <c r="BA10" s="64"/>
      <c r="BB10" s="64"/>
      <c r="BC10" s="64"/>
      <c r="BD10" s="64"/>
    </row>
    <row r="11" spans="1:56" s="22" customFormat="1" hidden="1" outlineLevel="2" x14ac:dyDescent="0.2">
      <c r="A11" s="38" t="s">
        <v>246</v>
      </c>
      <c r="B11" s="44"/>
      <c r="C11" s="63">
        <v>261.5</v>
      </c>
      <c r="D11" s="76">
        <f>E11-C11</f>
        <v>268.39999999999998</v>
      </c>
      <c r="E11" s="63">
        <v>529.9</v>
      </c>
      <c r="F11" s="76">
        <f>G11-E11</f>
        <v>271.5</v>
      </c>
      <c r="G11" s="63">
        <v>801.4</v>
      </c>
      <c r="H11" s="76">
        <f>I11-G11</f>
        <v>280.90700000000004</v>
      </c>
      <c r="I11" s="71">
        <f>'Fin. Highlights - FY'!F11</f>
        <v>1082.307</v>
      </c>
      <c r="J11" s="63">
        <v>281.70000000000005</v>
      </c>
      <c r="K11" s="76">
        <f>L11-J11</f>
        <v>285.09999999999991</v>
      </c>
      <c r="L11" s="63">
        <v>566.79999999999995</v>
      </c>
      <c r="M11" s="76">
        <f>N11-L11</f>
        <v>298.90000000000009</v>
      </c>
      <c r="N11" s="63">
        <v>865.7</v>
      </c>
      <c r="O11" s="76">
        <f>P11-N11</f>
        <v>309.40000000000009</v>
      </c>
      <c r="P11" s="71">
        <f>'Fin. Highlights - FY'!G11</f>
        <v>1175.1000000000001</v>
      </c>
      <c r="Q11" s="63">
        <v>298</v>
      </c>
      <c r="R11" s="76">
        <f>IFERROR(S11-Q11,"n.a.")</f>
        <v>310.29999999999995</v>
      </c>
      <c r="S11" s="63">
        <v>608.29999999999995</v>
      </c>
      <c r="T11" s="76">
        <f>IFERROR(U11-S11,"n.a.")</f>
        <v>328</v>
      </c>
      <c r="U11" s="63">
        <v>936.3</v>
      </c>
      <c r="V11" s="76">
        <f>IFERROR(W11-U11,"n.a.")</f>
        <v>342.80000000000018</v>
      </c>
      <c r="W11" s="71">
        <f>'Fin. Highlights - FY'!H11</f>
        <v>1279.1000000000001</v>
      </c>
      <c r="X11" s="63">
        <v>327.04000000000002</v>
      </c>
      <c r="Y11" s="76">
        <f>IFERROR(Z11-X11,"n.a.")</f>
        <v>330.46</v>
      </c>
      <c r="Z11" s="63">
        <v>657.5</v>
      </c>
      <c r="AA11" s="76">
        <f>IFERROR(AB11-Z11,"n.a.")</f>
        <v>350.1</v>
      </c>
      <c r="AB11" s="63">
        <v>1007.6</v>
      </c>
      <c r="AC11" s="76">
        <f>IFERROR(AD11-AB11,"n.a.")</f>
        <v>343.1</v>
      </c>
      <c r="AD11" s="71">
        <f>'Fin. Highlights - FY'!I11</f>
        <v>1350.7</v>
      </c>
      <c r="AE11" s="63" t="s">
        <v>228</v>
      </c>
      <c r="AF11" s="76" t="str">
        <f>IFERROR(AG11-AE11,"n.a.")</f>
        <v>n.a.</v>
      </c>
      <c r="AG11" s="63" t="s">
        <v>228</v>
      </c>
      <c r="AH11" s="76" t="str">
        <f>IFERROR(AI11-AG11,"n.a.")</f>
        <v>n.a.</v>
      </c>
      <c r="AI11" s="63" t="s">
        <v>228</v>
      </c>
      <c r="AJ11" s="76" t="str">
        <f>IFERROR(AK11-AI11,"n.a.")</f>
        <v>n.a.</v>
      </c>
      <c r="AK11" s="71" t="str">
        <f>'Fin. Highlights - FY'!J11</f>
        <v>n.a.</v>
      </c>
      <c r="AL11" s="63" t="s">
        <v>228</v>
      </c>
      <c r="AM11" s="76" t="str">
        <f>IFERROR(AN11-AL11,"n.a.")</f>
        <v>n.a.</v>
      </c>
      <c r="AN11" s="63" t="s">
        <v>228</v>
      </c>
      <c r="AO11" s="76" t="str">
        <f>IFERROR(AP11-AN11,"n.a.")</f>
        <v>n.a.</v>
      </c>
      <c r="AP11" s="63" t="s">
        <v>228</v>
      </c>
      <c r="AQ11" s="76" t="str">
        <f>IFERROR(AR11-AP11,"n.a.")</f>
        <v>n.a.</v>
      </c>
      <c r="AR11" s="71" t="str">
        <f>'Fin. Highlights - FY'!K11</f>
        <v>n.a.</v>
      </c>
      <c r="AS11" s="63" t="s">
        <v>228</v>
      </c>
      <c r="AT11" s="76" t="str">
        <f>IFERROR(AU11-AS11,"n.a.")</f>
        <v>n.a.</v>
      </c>
      <c r="AU11" s="63" t="s">
        <v>228</v>
      </c>
      <c r="AV11" s="76" t="str">
        <f>IFERROR(AW11-AU11,"n.a.")</f>
        <v>n.a.</v>
      </c>
      <c r="AW11" s="63" t="s">
        <v>228</v>
      </c>
      <c r="AX11" s="76" t="str">
        <f>IFERROR(AY11-AW11,"n.a.")</f>
        <v>n.a.</v>
      </c>
      <c r="AY11" s="71" t="str">
        <f>'Fin. Highlights - FY'!L11</f>
        <v>n.a.</v>
      </c>
      <c r="AZ11" s="63" t="s">
        <v>228</v>
      </c>
      <c r="BA11" s="76" t="str">
        <f>IFERROR(BB11-AZ11,"n.a.")</f>
        <v>n.a.</v>
      </c>
      <c r="BB11" s="63" t="s">
        <v>228</v>
      </c>
      <c r="BC11" s="76" t="str">
        <f>IFERROR(BD11-BB11,"n.a.")</f>
        <v>n.a.</v>
      </c>
      <c r="BD11" s="63" t="s">
        <v>228</v>
      </c>
    </row>
    <row r="12" spans="1:56" hidden="1" outlineLevel="2" x14ac:dyDescent="0.2">
      <c r="A12" s="170" t="s">
        <v>247</v>
      </c>
      <c r="B12" s="46"/>
      <c r="C12" s="46">
        <f t="shared" ref="C12:AE12" si="2">IFERROR(C11/C7,"n.a.")</f>
        <v>0.22144127360487761</v>
      </c>
      <c r="D12" s="46">
        <f t="shared" si="2"/>
        <v>0.21540930979133224</v>
      </c>
      <c r="E12" s="46">
        <f t="shared" si="2"/>
        <v>0.21834438996250358</v>
      </c>
      <c r="F12" s="46">
        <f t="shared" si="2"/>
        <v>0.21217567989996874</v>
      </c>
      <c r="G12" s="46">
        <f t="shared" si="2"/>
        <v>0.21621475785781735</v>
      </c>
      <c r="H12" s="46">
        <f t="shared" si="2"/>
        <v>0.22120472857619844</v>
      </c>
      <c r="I12" s="46">
        <f t="shared" si="2"/>
        <v>0.21748811790701544</v>
      </c>
      <c r="J12" s="46">
        <f t="shared" si="2"/>
        <v>0.21033375643993132</v>
      </c>
      <c r="K12" s="46">
        <f t="shared" si="2"/>
        <v>0.21181277860326894</v>
      </c>
      <c r="L12" s="46">
        <f t="shared" si="2"/>
        <v>0.21107511265035564</v>
      </c>
      <c r="M12" s="46">
        <f t="shared" si="2"/>
        <v>0.22088383091930242</v>
      </c>
      <c r="N12" s="46">
        <f t="shared" si="2"/>
        <v>0.21436176798316209</v>
      </c>
      <c r="O12" s="46">
        <f t="shared" si="2"/>
        <v>0.23550437821972706</v>
      </c>
      <c r="P12" s="46">
        <f t="shared" si="2"/>
        <v>0.21955145810866258</v>
      </c>
      <c r="Q12" s="46">
        <f t="shared" si="2"/>
        <v>0.22743508178504487</v>
      </c>
      <c r="R12" s="46">
        <f t="shared" si="2"/>
        <v>0.23506934659357767</v>
      </c>
      <c r="S12" s="46">
        <f t="shared" si="2"/>
        <v>0.23126639546819752</v>
      </c>
      <c r="T12" s="46">
        <f t="shared" si="2"/>
        <v>0.25330141323654337</v>
      </c>
      <c r="U12" s="46">
        <f t="shared" si="2"/>
        <v>0.23853561601956585</v>
      </c>
      <c r="V12" s="46">
        <f t="shared" si="2"/>
        <v>0.27007777735758676</v>
      </c>
      <c r="W12" s="46">
        <f t="shared" si="2"/>
        <v>0.24624292323519809</v>
      </c>
      <c r="X12" s="46">
        <f t="shared" si="2"/>
        <v>0.24892601940624323</v>
      </c>
      <c r="Y12" s="46">
        <f t="shared" si="2"/>
        <v>0.24642087217448563</v>
      </c>
      <c r="Z12" s="46">
        <f t="shared" si="2"/>
        <v>0.24766059612564661</v>
      </c>
      <c r="AA12" s="46">
        <f t="shared" si="2"/>
        <v>0.25341267468717904</v>
      </c>
      <c r="AB12" s="46">
        <f t="shared" si="2"/>
        <v>0.24962937123920817</v>
      </c>
      <c r="AC12" s="46">
        <f t="shared" si="2"/>
        <v>0.26665754751221959</v>
      </c>
      <c r="AD12" s="46">
        <f t="shared" si="2"/>
        <v>0.25374536004056319</v>
      </c>
      <c r="AE12" s="46" t="str">
        <f t="shared" si="2"/>
        <v>n.a.</v>
      </c>
      <c r="AF12" s="46" t="str">
        <f>IFERROR(AF11/AF7,"n.a.")</f>
        <v>n.a.</v>
      </c>
      <c r="AG12" s="46" t="str">
        <f>IFERROR(AG11/AG7,"n.a.")</f>
        <v>n.a.</v>
      </c>
      <c r="AH12" s="46" t="str">
        <f>IFERROR(AH11/AH7,"n.a.")</f>
        <v>n.a.</v>
      </c>
      <c r="AI12" s="46" t="str">
        <f>IFERROR(AI11/AI7,"n.a.")</f>
        <v>n.a.</v>
      </c>
      <c r="AJ12" s="46" t="str">
        <f>IFERROR(AJ11/AJ7,"n.a.")</f>
        <v>n.a.</v>
      </c>
      <c r="AK12" s="46" t="str">
        <f t="shared" ref="AK12:AQ12" si="3">IFERROR(AK11/AK7,"n.a.")</f>
        <v>n.a.</v>
      </c>
      <c r="AL12" s="46" t="str">
        <f t="shared" si="3"/>
        <v>n.a.</v>
      </c>
      <c r="AM12" s="46" t="str">
        <f t="shared" si="3"/>
        <v>n.a.</v>
      </c>
      <c r="AN12" s="46" t="str">
        <f t="shared" si="3"/>
        <v>n.a.</v>
      </c>
      <c r="AO12" s="46" t="str">
        <f t="shared" si="3"/>
        <v>n.a.</v>
      </c>
      <c r="AP12" s="46" t="str">
        <f t="shared" si="3"/>
        <v>n.a.</v>
      </c>
      <c r="AQ12" s="46" t="str">
        <f t="shared" si="3"/>
        <v>n.a.</v>
      </c>
      <c r="AR12" s="46" t="str">
        <f t="shared" ref="AR12:AW12" si="4">IFERROR(AR11/AR7,"n.a.")</f>
        <v>n.a.</v>
      </c>
      <c r="AS12" s="46" t="str">
        <f t="shared" si="4"/>
        <v>n.a.</v>
      </c>
      <c r="AT12" s="46" t="str">
        <f t="shared" si="4"/>
        <v>n.a.</v>
      </c>
      <c r="AU12" s="46" t="str">
        <f t="shared" si="4"/>
        <v>n.a.</v>
      </c>
      <c r="AV12" s="46" t="str">
        <f t="shared" si="4"/>
        <v>n.a.</v>
      </c>
      <c r="AW12" s="46" t="str">
        <f t="shared" si="4"/>
        <v>n.a.</v>
      </c>
      <c r="AX12" s="46" t="str">
        <f>IFERROR(AX11/AX7,"n.a.")</f>
        <v>n.a.</v>
      </c>
      <c r="AY12" s="46" t="str">
        <f t="shared" ref="AY12:BD12" si="5">IFERROR(AY11/AY7,"n.a.")</f>
        <v>n.a.</v>
      </c>
      <c r="AZ12" s="46" t="str">
        <f t="shared" si="5"/>
        <v>n.a.</v>
      </c>
      <c r="BA12" s="46" t="str">
        <f t="shared" si="5"/>
        <v>n.a.</v>
      </c>
      <c r="BB12" s="46" t="str">
        <f t="shared" si="5"/>
        <v>n.a.</v>
      </c>
      <c r="BC12" s="46" t="str">
        <f t="shared" si="5"/>
        <v>n.a.</v>
      </c>
      <c r="BD12" s="46" t="str">
        <f t="shared" si="5"/>
        <v>n.a.</v>
      </c>
    </row>
    <row r="13" spans="1:56" hidden="1" outlineLevel="2"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row>
    <row r="14" spans="1:56" s="22" customFormat="1" collapsed="1" x14ac:dyDescent="0.2">
      <c r="A14" s="99" t="s">
        <v>206</v>
      </c>
      <c r="B14" s="100"/>
      <c r="C14" s="101">
        <v>261.5</v>
      </c>
      <c r="D14" s="102">
        <f>E14-C14</f>
        <v>268.39999999999998</v>
      </c>
      <c r="E14" s="101">
        <v>529.9</v>
      </c>
      <c r="F14" s="102">
        <f>G14-E14</f>
        <v>271.5</v>
      </c>
      <c r="G14" s="101">
        <v>801.4</v>
      </c>
      <c r="H14" s="102">
        <f>I14-G14</f>
        <v>280.90700000000004</v>
      </c>
      <c r="I14" s="103">
        <f>'Fin. Highlights - FY'!F14</f>
        <v>1082.307</v>
      </c>
      <c r="J14" s="101">
        <v>270.40000000000003</v>
      </c>
      <c r="K14" s="102">
        <f>L14-J14</f>
        <v>275.99999999999994</v>
      </c>
      <c r="L14" s="101">
        <v>546.4</v>
      </c>
      <c r="M14" s="102">
        <f>N14-L14</f>
        <v>289.90000000000009</v>
      </c>
      <c r="N14" s="101">
        <v>836.30000000000007</v>
      </c>
      <c r="O14" s="102">
        <f>P14-N14</f>
        <v>301.39999999999998</v>
      </c>
      <c r="P14" s="103">
        <f>'Fin. Highlights - FY'!G14</f>
        <v>1137.7</v>
      </c>
      <c r="Q14" s="101">
        <v>288.10000000000002</v>
      </c>
      <c r="R14" s="102">
        <f>IFERROR(S14-Q14,"n.a.")</f>
        <v>299.79999999999995</v>
      </c>
      <c r="S14" s="101">
        <v>587.9</v>
      </c>
      <c r="T14" s="102">
        <f>IFERROR(U14-S14,"n.a.")</f>
        <v>319.79999999999995</v>
      </c>
      <c r="U14" s="101">
        <v>907.69999999999993</v>
      </c>
      <c r="V14" s="102">
        <f>IFERROR(W14-U14,"n.a.")</f>
        <v>327.00000000000011</v>
      </c>
      <c r="W14" s="103">
        <f>'Fin. Highlights - FY'!H14</f>
        <v>1234.7</v>
      </c>
      <c r="X14" s="101">
        <v>315.58999999999997</v>
      </c>
      <c r="Y14" s="102">
        <f>IFERROR(Z14-X14,"n.a.")</f>
        <v>320.51000000000005</v>
      </c>
      <c r="Z14" s="101">
        <v>636.1</v>
      </c>
      <c r="AA14" s="102">
        <f>IFERROR(AB14-Z14,"n.a.")</f>
        <v>342.4</v>
      </c>
      <c r="AB14" s="101">
        <v>978.5</v>
      </c>
      <c r="AC14" s="102">
        <f>IFERROR(AD14-AB14,"n.a.")</f>
        <v>331.58500000000004</v>
      </c>
      <c r="AD14" s="103">
        <f>'Fin. Highlights - FY'!I14</f>
        <v>1310.085</v>
      </c>
      <c r="AE14" s="101">
        <v>244.22800000000001</v>
      </c>
      <c r="AF14" s="102">
        <f>IFERROR(AG14-AE14,"n.a.")</f>
        <v>23.658000000000015</v>
      </c>
      <c r="AG14" s="101">
        <v>267.88600000000002</v>
      </c>
      <c r="AH14" s="102">
        <f>IFERROR(AI14-AG14,"n.a.")</f>
        <v>309.39299999999997</v>
      </c>
      <c r="AI14" s="101">
        <v>577.279</v>
      </c>
      <c r="AJ14" s="102">
        <f>IFERROR(AK14-AI14,"n.a.")</f>
        <v>315.35500000000002</v>
      </c>
      <c r="AK14" s="103">
        <f>'Fin. Highlights - FY'!J14</f>
        <v>892.63400000000001</v>
      </c>
      <c r="AL14" s="101">
        <v>266.48200000000003</v>
      </c>
      <c r="AM14" s="102">
        <f>IFERROR(AN14-AL14,"n.a.")</f>
        <v>307.39799999999997</v>
      </c>
      <c r="AN14" s="101">
        <v>573.88</v>
      </c>
      <c r="AO14" s="102">
        <f>IFERROR(AP14-AN14,"n.a.")</f>
        <v>320.15999999999997</v>
      </c>
      <c r="AP14" s="101">
        <v>894.04</v>
      </c>
      <c r="AQ14" s="102">
        <f>IFERROR(AR14-AP14,"n.a.")</f>
        <v>316.67499999999995</v>
      </c>
      <c r="AR14" s="103">
        <f>'Fin. Highlights - FY'!K14</f>
        <v>1210.7149999999999</v>
      </c>
      <c r="AS14" s="101">
        <v>333.05099999999999</v>
      </c>
      <c r="AT14" s="102">
        <f>IFERROR(AU14-AS14,"n.a.")</f>
        <v>362.209</v>
      </c>
      <c r="AU14" s="101">
        <v>695.26</v>
      </c>
      <c r="AV14" s="102">
        <f>IFERROR(AW14-AU14,"n.a.")</f>
        <v>383.89100000000008</v>
      </c>
      <c r="AW14" s="101">
        <v>1079.1510000000001</v>
      </c>
      <c r="AX14" s="102">
        <f>IFERROR(AY14-AW14,"n.a.")</f>
        <v>329.19499999999994</v>
      </c>
      <c r="AY14" s="103">
        <f>'Fin. Highlights - FY'!L14</f>
        <v>1408.346</v>
      </c>
      <c r="AZ14" s="101">
        <v>359.7</v>
      </c>
      <c r="BA14" s="102">
        <f>IFERROR(BB14-AZ14,"n.a.")</f>
        <v>379.39999999999992</v>
      </c>
      <c r="BB14" s="101">
        <v>739.09999999999991</v>
      </c>
      <c r="BC14" s="102">
        <f>IFERROR(BD14-BB14,"n.a.")</f>
        <v>376.74887913619818</v>
      </c>
      <c r="BD14" s="101">
        <v>1115.8488791361981</v>
      </c>
    </row>
    <row r="15" spans="1:56" x14ac:dyDescent="0.2">
      <c r="A15" s="163" t="s">
        <v>207</v>
      </c>
      <c r="B15" s="46"/>
      <c r="C15" s="46">
        <f t="shared" ref="C15:AE15" si="6">IFERROR(C14/C7,"n.a.")</f>
        <v>0.22144127360487761</v>
      </c>
      <c r="D15" s="46">
        <f t="shared" si="6"/>
        <v>0.21540930979133224</v>
      </c>
      <c r="E15" s="46">
        <f t="shared" si="6"/>
        <v>0.21834438996250358</v>
      </c>
      <c r="F15" s="46">
        <f t="shared" si="6"/>
        <v>0.21217567989996874</v>
      </c>
      <c r="G15" s="46">
        <f t="shared" si="6"/>
        <v>0.21621475785781735</v>
      </c>
      <c r="H15" s="46">
        <f t="shared" si="6"/>
        <v>0.22120472857619844</v>
      </c>
      <c r="I15" s="46">
        <f t="shared" si="6"/>
        <v>0.21748811790701544</v>
      </c>
      <c r="J15" s="46">
        <f t="shared" si="6"/>
        <v>0.20189651310386023</v>
      </c>
      <c r="K15" s="46">
        <f t="shared" si="6"/>
        <v>0.20505200594353643</v>
      </c>
      <c r="L15" s="46">
        <f t="shared" si="6"/>
        <v>0.20347819610471829</v>
      </c>
      <c r="M15" s="46">
        <f t="shared" si="6"/>
        <v>0.2142329293526456</v>
      </c>
      <c r="N15" s="46">
        <f t="shared" si="6"/>
        <v>0.2070818373158351</v>
      </c>
      <c r="O15" s="46">
        <f t="shared" si="6"/>
        <v>0.22941506010156984</v>
      </c>
      <c r="P15" s="46">
        <f t="shared" si="6"/>
        <v>0.2125637766064381</v>
      </c>
      <c r="Q15" s="46">
        <f t="shared" si="6"/>
        <v>0.21987935255795782</v>
      </c>
      <c r="R15" s="46">
        <f t="shared" si="6"/>
        <v>0.22711501807526452</v>
      </c>
      <c r="S15" s="46">
        <f t="shared" si="6"/>
        <v>0.22351062616431583</v>
      </c>
      <c r="T15" s="46">
        <f t="shared" si="6"/>
        <v>0.24696887790562971</v>
      </c>
      <c r="U15" s="46">
        <f t="shared" si="6"/>
        <v>0.23124936308977884</v>
      </c>
      <c r="V15" s="46">
        <f t="shared" si="6"/>
        <v>0.25762961842453574</v>
      </c>
      <c r="W15" s="46">
        <f t="shared" si="6"/>
        <v>0.23769536183136505</v>
      </c>
      <c r="X15" s="46">
        <f t="shared" si="6"/>
        <v>0.24021086859227095</v>
      </c>
      <c r="Y15" s="46">
        <f t="shared" si="6"/>
        <v>0.23900125201429645</v>
      </c>
      <c r="Z15" s="46">
        <f t="shared" si="6"/>
        <v>0.2395998558106826</v>
      </c>
      <c r="AA15" s="46">
        <f t="shared" si="6"/>
        <v>0.24783918826875201</v>
      </c>
      <c r="AB15" s="46">
        <f t="shared" si="6"/>
        <v>0.24241994815161294</v>
      </c>
      <c r="AC15" s="46">
        <f t="shared" si="6"/>
        <v>0.25770808187653549</v>
      </c>
      <c r="AD15" s="46">
        <f t="shared" si="6"/>
        <v>0.24611534020044512</v>
      </c>
      <c r="AE15" s="46">
        <f t="shared" si="6"/>
        <v>0.23225038323576516</v>
      </c>
      <c r="AF15" s="46">
        <f>IFERROR(AF14/AF7,"n.a.")</f>
        <v>3.093127212014796E-2</v>
      </c>
      <c r="AG15" s="46">
        <f>IFERROR(AG14/AG7,"n.a.")</f>
        <v>0.147479477590371</v>
      </c>
      <c r="AH15" s="46">
        <f>IFERROR(AH14/AH7,"n.a.")</f>
        <v>0.24220507107791525</v>
      </c>
      <c r="AI15" s="46">
        <f>IFERROR(AI14/AI7,"n.a.")</f>
        <v>0.18659040735916324</v>
      </c>
      <c r="AJ15" s="46">
        <f>IFERROR(AJ14/AJ7,"n.a.")</f>
        <v>0.26099043201983607</v>
      </c>
      <c r="AK15" s="46">
        <f t="shared" ref="AK15:AQ15" si="7">IFERROR(AK14/AK7,"n.a.")</f>
        <v>0.20748647588834462</v>
      </c>
      <c r="AL15" s="46">
        <f t="shared" si="7"/>
        <v>0.21409077580008279</v>
      </c>
      <c r="AM15" s="46">
        <f t="shared" si="7"/>
        <v>0.23285504565473295</v>
      </c>
      <c r="AN15" s="46">
        <f t="shared" si="7"/>
        <v>0.22374876259386059</v>
      </c>
      <c r="AO15" s="46">
        <f t="shared" si="7"/>
        <v>0.22634306357768522</v>
      </c>
      <c r="AP15" s="46">
        <f t="shared" si="7"/>
        <v>0.22467375387664254</v>
      </c>
      <c r="AQ15" s="46">
        <f t="shared" si="7"/>
        <v>0.23419779628138199</v>
      </c>
      <c r="AR15" s="46">
        <f t="shared" ref="AR15:AW15" si="8">IFERROR(AR14/AR7,"n.a.")</f>
        <v>0.22708925339260425</v>
      </c>
      <c r="AS15" s="46">
        <f t="shared" si="8"/>
        <v>0.21895534192234389</v>
      </c>
      <c r="AT15" s="46">
        <f t="shared" si="8"/>
        <v>0.21613243540951366</v>
      </c>
      <c r="AU15" s="46">
        <f t="shared" si="8"/>
        <v>0.2174755556612116</v>
      </c>
      <c r="AV15" s="46">
        <f t="shared" si="8"/>
        <v>0.20904484577203836</v>
      </c>
      <c r="AW15" s="46">
        <f t="shared" si="8"/>
        <v>0.21440176964988464</v>
      </c>
      <c r="AX15" s="46">
        <f>IFERROR(AX14/AX7,"n.a.")</f>
        <v>0.20803684052204641</v>
      </c>
      <c r="AY15" s="46">
        <f t="shared" ref="AY15:BD15" si="9">IFERROR(AY14/AY7,"n.a.")</f>
        <v>0.21287936272805599</v>
      </c>
      <c r="AZ15" s="46">
        <f t="shared" si="9"/>
        <v>0.21162060079776907</v>
      </c>
      <c r="BA15" s="46">
        <f t="shared" si="9"/>
        <v>0.21832704170886655</v>
      </c>
      <c r="BB15" s="46">
        <f t="shared" si="9"/>
        <v>0.21501090909090906</v>
      </c>
      <c r="BC15" s="46">
        <f t="shared" si="9"/>
        <v>0.21868646051715118</v>
      </c>
      <c r="BD15" s="46">
        <f t="shared" si="9"/>
        <v>0.21624010226212706</v>
      </c>
    </row>
    <row r="16" spans="1:56" x14ac:dyDescent="0.2">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row>
    <row r="17" spans="1:59" s="22" customFormat="1" ht="15" hidden="1" customHeight="1" outlineLevel="1" x14ac:dyDescent="0.2">
      <c r="A17" s="35" t="s">
        <v>257</v>
      </c>
      <c r="B17" s="41"/>
      <c r="C17" s="77">
        <f t="shared" ref="C17:V17" si="10">IFERROR(C24-C14,"n.a.")</f>
        <v>-57.900000000000006</v>
      </c>
      <c r="D17" s="77">
        <f t="shared" si="10"/>
        <v>-58.799999999999983</v>
      </c>
      <c r="E17" s="77">
        <f t="shared" si="10"/>
        <v>-116.69999999999999</v>
      </c>
      <c r="F17" s="77">
        <f t="shared" si="10"/>
        <v>-64.000000000000057</v>
      </c>
      <c r="G17" s="77">
        <f t="shared" si="10"/>
        <v>-180.70000000000005</v>
      </c>
      <c r="H17" s="77">
        <f t="shared" si="10"/>
        <v>-57.283999999999992</v>
      </c>
      <c r="I17" s="77">
        <f t="shared" si="10"/>
        <v>-237.98400000000004</v>
      </c>
      <c r="J17" s="77">
        <f t="shared" si="10"/>
        <v>-65.400000000000034</v>
      </c>
      <c r="K17" s="77">
        <f t="shared" si="10"/>
        <v>-64.800000000000011</v>
      </c>
      <c r="L17" s="77">
        <f t="shared" si="10"/>
        <v>-130.20000000000005</v>
      </c>
      <c r="M17" s="77">
        <f t="shared" si="10"/>
        <v>-63.899999999999977</v>
      </c>
      <c r="N17" s="77">
        <f t="shared" si="10"/>
        <v>-194.10000000000002</v>
      </c>
      <c r="O17" s="77">
        <f t="shared" si="10"/>
        <v>-67.199999999999989</v>
      </c>
      <c r="P17" s="77">
        <f t="shared" si="10"/>
        <v>-261.30000000000007</v>
      </c>
      <c r="Q17" s="77">
        <f t="shared" si="10"/>
        <v>-69.700000000000017</v>
      </c>
      <c r="R17" s="77">
        <f t="shared" si="10"/>
        <v>-68.099999999999937</v>
      </c>
      <c r="S17" s="77">
        <f t="shared" si="10"/>
        <v>-137.79999999999995</v>
      </c>
      <c r="T17" s="77">
        <f t="shared" si="10"/>
        <v>-69.799999999999955</v>
      </c>
      <c r="U17" s="77">
        <f t="shared" si="10"/>
        <v>-207.59999999999991</v>
      </c>
      <c r="V17" s="77">
        <f t="shared" si="10"/>
        <v>-72.10000000000008</v>
      </c>
      <c r="W17" s="77">
        <f>IFERROR(W24-W14,"n.a.")</f>
        <v>-279.70000000000005</v>
      </c>
      <c r="X17" s="77">
        <f t="shared" ref="X17:AC17" si="11">IFERROR(X24-X14,"n.a.")</f>
        <v>-96.416999999999973</v>
      </c>
      <c r="Y17" s="77">
        <f t="shared" si="11"/>
        <v>-99.18300000000005</v>
      </c>
      <c r="Z17" s="77">
        <f t="shared" si="11"/>
        <v>-195.60000000000002</v>
      </c>
      <c r="AA17" s="77">
        <f t="shared" si="11"/>
        <v>-97.9</v>
      </c>
      <c r="AB17" s="77">
        <f t="shared" si="11"/>
        <v>-293.5</v>
      </c>
      <c r="AC17" s="77">
        <f t="shared" si="11"/>
        <v>-99.284999999999997</v>
      </c>
      <c r="AD17" s="77">
        <f>IFERROR(AD24-AD14,"n.a.")</f>
        <v>-392.78499999999997</v>
      </c>
      <c r="AE17" s="77">
        <f t="shared" ref="AE17:AJ17" si="12">IFERROR(AE24-AE14,"n.a.")</f>
        <v>-103.15800000000002</v>
      </c>
      <c r="AF17" s="77">
        <f t="shared" si="12"/>
        <v>-98.066000000000003</v>
      </c>
      <c r="AG17" s="77">
        <f t="shared" si="12"/>
        <v>-201.22400000000002</v>
      </c>
      <c r="AH17" s="77">
        <f t="shared" si="12"/>
        <v>-95.643000000000001</v>
      </c>
      <c r="AI17" s="77">
        <f t="shared" si="12"/>
        <v>-296.86700000000002</v>
      </c>
      <c r="AJ17" s="77">
        <f t="shared" si="12"/>
        <v>-94.586999999999989</v>
      </c>
      <c r="AK17" s="77">
        <f>IFERROR(AK24-AK14,"n.a.")</f>
        <v>-391.45400000000001</v>
      </c>
      <c r="AL17" s="77">
        <f t="shared" ref="AL17:AQ17" si="13">IFERROR(AL24-AL14,"n.a.")</f>
        <v>-97.731000000000023</v>
      </c>
      <c r="AM17" s="77">
        <f t="shared" si="13"/>
        <v>-98.783999999999963</v>
      </c>
      <c r="AN17" s="77">
        <f t="shared" si="13"/>
        <v>-196.51499999999999</v>
      </c>
      <c r="AO17" s="77">
        <f t="shared" si="13"/>
        <v>-98.728999999999928</v>
      </c>
      <c r="AP17" s="77">
        <f t="shared" si="13"/>
        <v>-295.24399999999991</v>
      </c>
      <c r="AQ17" s="77">
        <f t="shared" si="13"/>
        <v>-99.690000000000055</v>
      </c>
      <c r="AR17" s="77">
        <f>IFERROR(AR24-AR14,"n.a.")</f>
        <v>-394.93399999999997</v>
      </c>
      <c r="AS17" s="77">
        <f>IFERROR(AS24-AS14,"n.a.")</f>
        <v>-104.56799999999998</v>
      </c>
      <c r="AT17" s="77">
        <f>IFERROR(AT24-AT14,"n.a.")</f>
        <v>-109.13299999999998</v>
      </c>
      <c r="AU17" s="77">
        <v>-213.70045383374688</v>
      </c>
      <c r="AV17" s="77">
        <f t="shared" ref="AV17:BD17" si="14">IFERROR(AV24-AV14,"n.a.")</f>
        <v>-111.99700000000013</v>
      </c>
      <c r="AW17" s="77">
        <f t="shared" si="14"/>
        <v>-325.69800000000009</v>
      </c>
      <c r="AX17" s="77">
        <f t="shared" si="14"/>
        <v>-104.8649999999999</v>
      </c>
      <c r="AY17" s="77">
        <f t="shared" si="14"/>
        <v>-430.56299999999999</v>
      </c>
      <c r="AZ17" s="77">
        <f t="shared" si="14"/>
        <v>-111.57</v>
      </c>
      <c r="BA17" s="77">
        <f t="shared" si="14"/>
        <v>-110.12999999999994</v>
      </c>
      <c r="BB17" s="77">
        <f t="shared" si="14"/>
        <v>-221.69999999999993</v>
      </c>
      <c r="BC17" s="77">
        <f t="shared" si="14"/>
        <v>-111.65530799999613</v>
      </c>
      <c r="BD17" s="77">
        <f t="shared" si="14"/>
        <v>-333.35530799999606</v>
      </c>
    </row>
    <row r="18" spans="1:59" hidden="1" outlineLevel="2"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row>
    <row r="19" spans="1:59" s="22" customFormat="1" hidden="1" outlineLevel="2" x14ac:dyDescent="0.2">
      <c r="A19" s="38" t="s">
        <v>229</v>
      </c>
      <c r="B19" s="44"/>
      <c r="C19" s="63">
        <v>203.6</v>
      </c>
      <c r="D19" s="76">
        <f>E19-C19</f>
        <v>209.6</v>
      </c>
      <c r="E19" s="63">
        <v>413.2</v>
      </c>
      <c r="F19" s="76">
        <f>G19-E19</f>
        <v>207.49999999999994</v>
      </c>
      <c r="G19" s="63">
        <v>620.69999999999993</v>
      </c>
      <c r="H19" s="76">
        <f>I19-G19</f>
        <v>223.62300000000005</v>
      </c>
      <c r="I19" s="71">
        <f>'Fin. Highlights - FY'!F19</f>
        <v>844.32299999999998</v>
      </c>
      <c r="J19" s="63">
        <v>219.5</v>
      </c>
      <c r="K19" s="76">
        <f>L19-J19</f>
        <v>223.49999999999994</v>
      </c>
      <c r="L19" s="63">
        <v>442.99999999999994</v>
      </c>
      <c r="M19" s="76">
        <f>N19-L19</f>
        <v>238.2000000000001</v>
      </c>
      <c r="N19" s="63">
        <v>681.2</v>
      </c>
      <c r="O19" s="76">
        <f>P19-N19</f>
        <v>245.39999999999998</v>
      </c>
      <c r="P19" s="71">
        <f>'Fin. Highlights - FY'!G19</f>
        <v>926.6</v>
      </c>
      <c r="Q19" s="63">
        <v>229.4</v>
      </c>
      <c r="R19" s="76">
        <f>IFERROR(S19-Q19,"n.a.")</f>
        <v>243.9</v>
      </c>
      <c r="S19" s="63">
        <v>473.3</v>
      </c>
      <c r="T19" s="76">
        <f>IFERROR(U19-S19,"n.a.")</f>
        <v>258.8</v>
      </c>
      <c r="U19" s="63">
        <v>732.1</v>
      </c>
      <c r="V19" s="76">
        <f>IFERROR(W19-U19,"n.a.")</f>
        <v>270.60000000000002</v>
      </c>
      <c r="W19" s="71">
        <f>'Fin. Highlights - FY'!H19</f>
        <v>1002.7</v>
      </c>
      <c r="X19" s="63">
        <v>230.673</v>
      </c>
      <c r="Y19" s="76">
        <f>IFERROR(Z19-X19,"n.a.")</f>
        <v>231.72699999999998</v>
      </c>
      <c r="Z19" s="63">
        <v>462.4</v>
      </c>
      <c r="AA19" s="76">
        <f>IFERROR(AB19-Z19,"n.a.")</f>
        <v>252</v>
      </c>
      <c r="AB19" s="63">
        <v>714.4</v>
      </c>
      <c r="AC19" s="76">
        <f>IFERROR(AD19-AB19,"n.a.")</f>
        <v>244.20000000000005</v>
      </c>
      <c r="AD19" s="71">
        <f>'Fin. Highlights - FY'!I19</f>
        <v>958.6</v>
      </c>
      <c r="AE19" s="63" t="s">
        <v>228</v>
      </c>
      <c r="AF19" s="76" t="str">
        <f>IFERROR(AG19-AE19,"n.a.")</f>
        <v>n.a.</v>
      </c>
      <c r="AG19" s="63" t="s">
        <v>228</v>
      </c>
      <c r="AH19" s="76" t="str">
        <f>IFERROR(AI19-AG19,"n.a.")</f>
        <v>n.a.</v>
      </c>
      <c r="AI19" s="63" t="s">
        <v>228</v>
      </c>
      <c r="AJ19" s="76" t="str">
        <f>IFERROR(AK19-AI19,"n.a.")</f>
        <v>n.a.</v>
      </c>
      <c r="AK19" s="71" t="str">
        <f>'Fin. Highlights - FY'!J19</f>
        <v>n.a.</v>
      </c>
      <c r="AL19" s="63" t="s">
        <v>228</v>
      </c>
      <c r="AM19" s="76" t="str">
        <f>IFERROR(AN19-AL19,"n.a.")</f>
        <v>n.a.</v>
      </c>
      <c r="AN19" s="63" t="s">
        <v>228</v>
      </c>
      <c r="AO19" s="76" t="str">
        <f>IFERROR(AP19-AN19,"n.a.")</f>
        <v>n.a.</v>
      </c>
      <c r="AP19" s="63" t="s">
        <v>228</v>
      </c>
      <c r="AQ19" s="76" t="str">
        <f>IFERROR(AR19-AP19,"n.a.")</f>
        <v>n.a.</v>
      </c>
      <c r="AR19" s="71" t="str">
        <f>'Fin. Highlights - FY'!K19</f>
        <v>n.a.</v>
      </c>
      <c r="AS19" s="63" t="s">
        <v>228</v>
      </c>
      <c r="AT19" s="76" t="str">
        <f>IFERROR(AU19-AS19,"n.a.")</f>
        <v>n.a.</v>
      </c>
      <c r="AU19" s="63" t="s">
        <v>228</v>
      </c>
      <c r="AV19" s="76" t="str">
        <f>IFERROR(AW19-AU19,"n.a.")</f>
        <v>n.a.</v>
      </c>
      <c r="AW19" s="63" t="s">
        <v>228</v>
      </c>
      <c r="AX19" s="76" t="str">
        <f>IFERROR(AY19-AW19,"n.a.")</f>
        <v>n.a.</v>
      </c>
      <c r="AY19" s="71" t="str">
        <f>'Fin. Highlights - FY'!L19</f>
        <v>n.a.</v>
      </c>
      <c r="AZ19" s="63" t="s">
        <v>228</v>
      </c>
      <c r="BA19" s="76" t="str">
        <f>IFERROR(BB19-AZ19,"n.a.")</f>
        <v>n.a.</v>
      </c>
      <c r="BB19" s="63" t="s">
        <v>228</v>
      </c>
      <c r="BC19" s="76" t="str">
        <f>IFERROR(BD19-BB19,"n.a.")</f>
        <v>n.a.</v>
      </c>
      <c r="BD19" s="63" t="s">
        <v>228</v>
      </c>
    </row>
    <row r="20" spans="1:59" ht="12.75" hidden="1" customHeight="1" outlineLevel="2" x14ac:dyDescent="0.2">
      <c r="A20" s="109"/>
      <c r="B20" s="110"/>
      <c r="C20" s="110"/>
      <c r="D20" s="110"/>
      <c r="E20" s="110"/>
      <c r="F20" s="110"/>
      <c r="G20" s="110"/>
      <c r="H20" s="110"/>
      <c r="I20" s="111"/>
      <c r="J20" s="110"/>
      <c r="K20" s="110"/>
      <c r="L20" s="110"/>
      <c r="M20" s="110"/>
      <c r="N20" s="110"/>
      <c r="O20" s="110"/>
      <c r="P20" s="111"/>
      <c r="Q20" s="110"/>
      <c r="R20" s="110"/>
      <c r="S20" s="110"/>
      <c r="T20" s="110"/>
      <c r="U20" s="110"/>
      <c r="V20" s="110"/>
      <c r="W20" s="111"/>
      <c r="X20" s="110"/>
      <c r="Y20" s="110"/>
      <c r="Z20" s="110"/>
      <c r="AA20" s="110"/>
      <c r="AB20" s="110"/>
      <c r="AC20" s="110"/>
      <c r="AD20" s="111"/>
      <c r="AE20" s="110"/>
      <c r="AF20" s="110"/>
      <c r="AG20" s="110"/>
      <c r="AH20" s="110"/>
      <c r="AI20" s="110"/>
      <c r="AJ20" s="110"/>
      <c r="AK20" s="111"/>
      <c r="AL20" s="110"/>
      <c r="AM20" s="110"/>
      <c r="AN20" s="110"/>
      <c r="AO20" s="110"/>
      <c r="AP20" s="110"/>
      <c r="AQ20" s="110"/>
      <c r="AR20" s="111"/>
      <c r="AS20" s="110"/>
      <c r="AT20" s="110"/>
      <c r="AU20" s="110"/>
      <c r="AV20" s="110"/>
      <c r="AW20" s="110"/>
      <c r="AX20" s="110"/>
      <c r="AY20" s="111"/>
      <c r="AZ20" s="110"/>
      <c r="BA20" s="110"/>
      <c r="BB20" s="110"/>
      <c r="BC20" s="110"/>
      <c r="BD20" s="110"/>
    </row>
    <row r="21" spans="1:59" hidden="1" outlineLevel="2" x14ac:dyDescent="0.2">
      <c r="A21" s="166" t="s">
        <v>230</v>
      </c>
      <c r="B21" s="43"/>
      <c r="C21" s="43">
        <f t="shared" ref="C21:AE21" si="15">IFERROR(C19/C7,"n.a.")</f>
        <v>0.17241087306291811</v>
      </c>
      <c r="D21" s="43">
        <f t="shared" si="15"/>
        <v>0.1682182985553772</v>
      </c>
      <c r="E21" s="43">
        <f t="shared" si="15"/>
        <v>0.1702583542791215</v>
      </c>
      <c r="F21" s="43">
        <f t="shared" si="15"/>
        <v>0.16216005001562986</v>
      </c>
      <c r="G21" s="43">
        <f t="shared" si="15"/>
        <v>0.16746256576284904</v>
      </c>
      <c r="H21" s="43">
        <f t="shared" si="15"/>
        <v>0.17609552278296814</v>
      </c>
      <c r="I21" s="43">
        <f t="shared" si="15"/>
        <v>0.16966555716225157</v>
      </c>
      <c r="J21" s="43">
        <f t="shared" si="15"/>
        <v>0.16389158515642496</v>
      </c>
      <c r="K21" s="43">
        <f t="shared" si="15"/>
        <v>0.1660475482912333</v>
      </c>
      <c r="L21" s="43">
        <f t="shared" si="15"/>
        <v>0.16497225635869361</v>
      </c>
      <c r="M21" s="43">
        <f t="shared" si="15"/>
        <v>0.17602719479751705</v>
      </c>
      <c r="N21" s="43">
        <f t="shared" si="15"/>
        <v>0.16867648879534483</v>
      </c>
      <c r="O21" s="43">
        <f t="shared" si="15"/>
        <v>0.18678983327446994</v>
      </c>
      <c r="P21" s="43">
        <f t="shared" si="15"/>
        <v>0.17312261176366839</v>
      </c>
      <c r="Q21" s="43">
        <f t="shared" si="15"/>
        <v>0.17507922067613857</v>
      </c>
      <c r="R21" s="43">
        <f t="shared" si="15"/>
        <v>0.18476768815395941</v>
      </c>
      <c r="S21" s="43">
        <f t="shared" si="15"/>
        <v>0.17994145154545108</v>
      </c>
      <c r="T21" s="43">
        <f t="shared" si="15"/>
        <v>0.19986099312688238</v>
      </c>
      <c r="U21" s="43">
        <f t="shared" si="15"/>
        <v>0.1865127891572404</v>
      </c>
      <c r="V21" s="43">
        <f t="shared" si="15"/>
        <v>0.2131944181825057</v>
      </c>
      <c r="W21" s="43">
        <f t="shared" si="15"/>
        <v>0.19303242836989531</v>
      </c>
      <c r="X21" s="43">
        <f t="shared" si="15"/>
        <v>0.17557641779139049</v>
      </c>
      <c r="Y21" s="43">
        <f t="shared" si="15"/>
        <v>0.17279661516182604</v>
      </c>
      <c r="Z21" s="43">
        <f t="shared" si="15"/>
        <v>0.1741722580205308</v>
      </c>
      <c r="AA21" s="43">
        <f t="shared" si="15"/>
        <v>0.18240501005760956</v>
      </c>
      <c r="AB21" s="43">
        <f t="shared" si="15"/>
        <v>0.17699009806797369</v>
      </c>
      <c r="AC21" s="43">
        <f t="shared" si="15"/>
        <v>0.18979240193087737</v>
      </c>
      <c r="AD21" s="43">
        <f t="shared" si="15"/>
        <v>0.18008462436875983</v>
      </c>
      <c r="AE21" s="43" t="str">
        <f t="shared" si="15"/>
        <v>n.a.</v>
      </c>
      <c r="AF21" s="43" t="str">
        <f>IFERROR(AF19/AF7,"n.a.")</f>
        <v>n.a.</v>
      </c>
      <c r="AG21" s="43" t="str">
        <f>IFERROR(AG19/AG7,"n.a.")</f>
        <v>n.a.</v>
      </c>
      <c r="AH21" s="43" t="str">
        <f>IFERROR(AH19/AH7,"n.a.")</f>
        <v>n.a.</v>
      </c>
      <c r="AI21" s="43" t="str">
        <f>IFERROR(AI19/AI7,"n.a.")</f>
        <v>n.a.</v>
      </c>
      <c r="AJ21" s="43" t="str">
        <f>IFERROR(AJ19/AJ7,"n.a.")</f>
        <v>n.a.</v>
      </c>
      <c r="AK21" s="43" t="str">
        <f t="shared" ref="AK21:AQ21" si="16">IFERROR(AK19/AK7,"n.a.")</f>
        <v>n.a.</v>
      </c>
      <c r="AL21" s="43" t="str">
        <f t="shared" si="16"/>
        <v>n.a.</v>
      </c>
      <c r="AM21" s="43" t="str">
        <f t="shared" si="16"/>
        <v>n.a.</v>
      </c>
      <c r="AN21" s="43" t="str">
        <f t="shared" si="16"/>
        <v>n.a.</v>
      </c>
      <c r="AO21" s="43" t="str">
        <f t="shared" si="16"/>
        <v>n.a.</v>
      </c>
      <c r="AP21" s="43" t="str">
        <f t="shared" si="16"/>
        <v>n.a.</v>
      </c>
      <c r="AQ21" s="43" t="str">
        <f t="shared" si="16"/>
        <v>n.a.</v>
      </c>
      <c r="AR21" s="43" t="str">
        <f t="shared" ref="AR21:AX21" si="17">IFERROR(AR19/AR7,"n.a.")</f>
        <v>n.a.</v>
      </c>
      <c r="AS21" s="43" t="str">
        <f t="shared" si="17"/>
        <v>n.a.</v>
      </c>
      <c r="AT21" s="43" t="str">
        <f t="shared" si="17"/>
        <v>n.a.</v>
      </c>
      <c r="AU21" s="43" t="str">
        <f t="shared" si="17"/>
        <v>n.a.</v>
      </c>
      <c r="AV21" s="43" t="str">
        <f t="shared" si="17"/>
        <v>n.a.</v>
      </c>
      <c r="AW21" s="43" t="str">
        <f t="shared" si="17"/>
        <v>n.a.</v>
      </c>
      <c r="AX21" s="43" t="str">
        <f t="shared" si="17"/>
        <v>n.a.</v>
      </c>
      <c r="AY21" s="43" t="str">
        <f t="shared" ref="AY21:BD21" si="18">IFERROR(AY19/AY7,"n.a.")</f>
        <v>n.a.</v>
      </c>
      <c r="AZ21" s="43" t="str">
        <f t="shared" si="18"/>
        <v>n.a.</v>
      </c>
      <c r="BA21" s="43" t="str">
        <f t="shared" si="18"/>
        <v>n.a.</v>
      </c>
      <c r="BB21" s="43" t="str">
        <f t="shared" si="18"/>
        <v>n.a.</v>
      </c>
      <c r="BC21" s="43" t="str">
        <f t="shared" si="18"/>
        <v>n.a.</v>
      </c>
      <c r="BD21" s="43" t="str">
        <f t="shared" si="18"/>
        <v>n.a.</v>
      </c>
    </row>
    <row r="22" spans="1:59" hidden="1" outlineLevel="2" x14ac:dyDescent="0.2">
      <c r="A22" s="35" t="s">
        <v>32</v>
      </c>
      <c r="B22" s="50"/>
      <c r="C22" s="65">
        <v>0</v>
      </c>
      <c r="D22" s="77">
        <f>E22-C22</f>
        <v>0</v>
      </c>
      <c r="E22" s="65">
        <v>0</v>
      </c>
      <c r="F22" s="77">
        <f>G22-E22</f>
        <v>0</v>
      </c>
      <c r="G22" s="65">
        <v>0</v>
      </c>
      <c r="H22" s="77">
        <f>I22-G22</f>
        <v>0</v>
      </c>
      <c r="I22" s="52">
        <f>'Fin. Highlights - FY'!F22</f>
        <v>0</v>
      </c>
      <c r="J22" s="65">
        <v>-14.5</v>
      </c>
      <c r="K22" s="77">
        <f>L22-J22</f>
        <v>-12.3</v>
      </c>
      <c r="L22" s="65">
        <v>-26.8</v>
      </c>
      <c r="M22" s="77">
        <f>N22-L22</f>
        <v>-12.2</v>
      </c>
      <c r="N22" s="65">
        <v>-39</v>
      </c>
      <c r="O22" s="77">
        <f>P22-N22</f>
        <v>-11.200000000000003</v>
      </c>
      <c r="P22" s="52">
        <f>'Fin. Highlights - FY'!G22</f>
        <v>-50.2</v>
      </c>
      <c r="Q22" s="65">
        <v>-11</v>
      </c>
      <c r="R22" s="77">
        <f>IFERROR(S22-Q22,"n.a.")</f>
        <v>-12.199999999999989</v>
      </c>
      <c r="S22" s="65">
        <v>-23.199999999999989</v>
      </c>
      <c r="T22" s="77">
        <f>IFERROR(U22-S22,"n.a.")</f>
        <v>-8.8000000000000114</v>
      </c>
      <c r="U22" s="65">
        <v>-32</v>
      </c>
      <c r="V22" s="77">
        <f>W22-U22</f>
        <v>-15.700000000000003</v>
      </c>
      <c r="W22" s="52">
        <f>'Fin. Highlights - FY'!H22</f>
        <v>-47.7</v>
      </c>
      <c r="X22" s="65">
        <v>-11.5</v>
      </c>
      <c r="Y22" s="77">
        <f>IFERROR(Z22-X22,"n.a.")</f>
        <v>-10.399999999999977</v>
      </c>
      <c r="Z22" s="65">
        <v>-21.899999999999977</v>
      </c>
      <c r="AA22" s="77">
        <f>IFERROR(AB22-Z22,"n.a.")</f>
        <v>-7.5000000000000213</v>
      </c>
      <c r="AB22" s="65">
        <v>-29.4</v>
      </c>
      <c r="AC22" s="77">
        <f>IFERROR(AD22-AB22,"n.a.")</f>
        <v>-11.899999999999999</v>
      </c>
      <c r="AD22" s="52">
        <f>'Fin. Highlights - FY'!I22</f>
        <v>-41.3</v>
      </c>
      <c r="AE22" s="65" t="s">
        <v>228</v>
      </c>
      <c r="AF22" s="77" t="str">
        <f>IFERROR(AG22-AE22,"n.a.")</f>
        <v>n.a.</v>
      </c>
      <c r="AG22" s="65" t="s">
        <v>228</v>
      </c>
      <c r="AH22" s="77" t="str">
        <f>IFERROR(AI22-AG22,"n.a.")</f>
        <v>n.a.</v>
      </c>
      <c r="AI22" s="65" t="s">
        <v>228</v>
      </c>
      <c r="AJ22" s="77" t="str">
        <f>IFERROR(AK22-AI22,"n.a.")</f>
        <v>n.a.</v>
      </c>
      <c r="AK22" s="52" t="str">
        <f>'Fin. Highlights - FY'!J22</f>
        <v>n.a.</v>
      </c>
      <c r="AL22" s="65" t="s">
        <v>228</v>
      </c>
      <c r="AM22" s="77" t="str">
        <f>IFERROR(AN22-AL22,"n.a.")</f>
        <v>n.a.</v>
      </c>
      <c r="AN22" s="65" t="s">
        <v>228</v>
      </c>
      <c r="AO22" s="77" t="str">
        <f>IFERROR(AP22-AN22,"n.a.")</f>
        <v>n.a.</v>
      </c>
      <c r="AP22" s="65" t="s">
        <v>228</v>
      </c>
      <c r="AQ22" s="77" t="str">
        <f>IFERROR(AR22-AP22,"n.a.")</f>
        <v>n.a.</v>
      </c>
      <c r="AR22" s="52" t="str">
        <f>'Fin. Highlights - FY'!K22</f>
        <v>n.a.</v>
      </c>
      <c r="AS22" s="65" t="s">
        <v>228</v>
      </c>
      <c r="AT22" s="77" t="str">
        <f>IFERROR(AU22-AS22,"n.a.")</f>
        <v>n.a.</v>
      </c>
      <c r="AU22" s="65" t="s">
        <v>228</v>
      </c>
      <c r="AV22" s="77" t="str">
        <f>IFERROR(AW22-AU22,"n.a.")</f>
        <v>n.a.</v>
      </c>
      <c r="AW22" s="65" t="s">
        <v>228</v>
      </c>
      <c r="AX22" s="77" t="str">
        <f>IFERROR(AY22-AW22,"n.a.")</f>
        <v>n.a.</v>
      </c>
      <c r="AY22" s="52" t="str">
        <f>'Fin. Highlights - FY'!L22</f>
        <v>n.a.</v>
      </c>
      <c r="AZ22" s="65" t="s">
        <v>228</v>
      </c>
      <c r="BA22" s="77" t="str">
        <f>IFERROR(BB22-AZ22,"n.a.")</f>
        <v>n.a.</v>
      </c>
      <c r="BB22" s="65" t="s">
        <v>228</v>
      </c>
      <c r="BC22" s="77" t="str">
        <f>IFERROR(BD22-BB22,"n.a.")</f>
        <v>n.a.</v>
      </c>
      <c r="BD22" s="65" t="s">
        <v>228</v>
      </c>
    </row>
    <row r="23" spans="1:59" collapsed="1" x14ac:dyDescent="0.2">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row>
    <row r="24" spans="1:59" s="22" customFormat="1" x14ac:dyDescent="0.2">
      <c r="A24" s="99" t="s">
        <v>205</v>
      </c>
      <c r="B24" s="100"/>
      <c r="C24" s="100">
        <f t="shared" ref="C24:V24" si="19">IFERROR(C19+C22,"n.a.")</f>
        <v>203.6</v>
      </c>
      <c r="D24" s="100">
        <f t="shared" si="19"/>
        <v>209.6</v>
      </c>
      <c r="E24" s="100">
        <f t="shared" si="19"/>
        <v>413.2</v>
      </c>
      <c r="F24" s="100">
        <f t="shared" si="19"/>
        <v>207.49999999999994</v>
      </c>
      <c r="G24" s="100">
        <f t="shared" si="19"/>
        <v>620.69999999999993</v>
      </c>
      <c r="H24" s="100">
        <f t="shared" si="19"/>
        <v>223.62300000000005</v>
      </c>
      <c r="I24" s="100">
        <f t="shared" si="19"/>
        <v>844.32299999999998</v>
      </c>
      <c r="J24" s="100">
        <f t="shared" si="19"/>
        <v>205</v>
      </c>
      <c r="K24" s="100">
        <f t="shared" si="19"/>
        <v>211.19999999999993</v>
      </c>
      <c r="L24" s="100">
        <f t="shared" si="19"/>
        <v>416.19999999999993</v>
      </c>
      <c r="M24" s="100">
        <f t="shared" si="19"/>
        <v>226.00000000000011</v>
      </c>
      <c r="N24" s="100">
        <f t="shared" si="19"/>
        <v>642.20000000000005</v>
      </c>
      <c r="O24" s="100">
        <f t="shared" si="19"/>
        <v>234.2</v>
      </c>
      <c r="P24" s="100">
        <f t="shared" si="19"/>
        <v>876.4</v>
      </c>
      <c r="Q24" s="100">
        <f t="shared" si="19"/>
        <v>218.4</v>
      </c>
      <c r="R24" s="100">
        <f t="shared" si="19"/>
        <v>231.70000000000002</v>
      </c>
      <c r="S24" s="100">
        <f t="shared" si="19"/>
        <v>450.1</v>
      </c>
      <c r="T24" s="100">
        <f t="shared" si="19"/>
        <v>250</v>
      </c>
      <c r="U24" s="100">
        <f t="shared" si="19"/>
        <v>700.1</v>
      </c>
      <c r="V24" s="100">
        <f t="shared" si="19"/>
        <v>254.90000000000003</v>
      </c>
      <c r="W24" s="100">
        <f>IFERROR(W19+W22,"n.a.")</f>
        <v>955</v>
      </c>
      <c r="X24" s="100">
        <f t="shared" ref="X24:AC24" si="20">IFERROR(X19+X22,"n.a.")</f>
        <v>219.173</v>
      </c>
      <c r="Y24" s="100">
        <f t="shared" si="20"/>
        <v>221.327</v>
      </c>
      <c r="Z24" s="100">
        <f t="shared" si="20"/>
        <v>440.5</v>
      </c>
      <c r="AA24" s="100">
        <f t="shared" si="20"/>
        <v>244.49999999999997</v>
      </c>
      <c r="AB24" s="100">
        <f t="shared" si="20"/>
        <v>685</v>
      </c>
      <c r="AC24" s="100">
        <f t="shared" si="20"/>
        <v>232.30000000000004</v>
      </c>
      <c r="AD24" s="100">
        <f>IFERROR(AD19+AD22,"n.a.")</f>
        <v>917.30000000000007</v>
      </c>
      <c r="AE24" s="101">
        <v>141.07</v>
      </c>
      <c r="AF24" s="100">
        <f>IFERROR(AG24-AE24,"n.a.")</f>
        <v>-74.407999999999987</v>
      </c>
      <c r="AG24" s="101">
        <v>66.662000000000006</v>
      </c>
      <c r="AH24" s="100">
        <f>IFERROR(AI24-AG24,"n.a.")</f>
        <v>213.74999999999997</v>
      </c>
      <c r="AI24" s="101">
        <v>280.41199999999998</v>
      </c>
      <c r="AJ24" s="100">
        <f>IFERROR(AK24-AI24,"n.a.")</f>
        <v>220.76800000000003</v>
      </c>
      <c r="AK24" s="103">
        <f>'Fin. Highlights - FY'!J24</f>
        <v>501.18</v>
      </c>
      <c r="AL24" s="101">
        <v>168.751</v>
      </c>
      <c r="AM24" s="100">
        <f>IFERROR(AN24-AL24,"n.a.")</f>
        <v>208.614</v>
      </c>
      <c r="AN24" s="101">
        <v>377.36500000000001</v>
      </c>
      <c r="AO24" s="100">
        <f>IFERROR(AP24-AN24,"n.a.")</f>
        <v>221.43100000000004</v>
      </c>
      <c r="AP24" s="101">
        <v>598.79600000000005</v>
      </c>
      <c r="AQ24" s="100">
        <f>IFERROR(AR24-AP24,"n.a.")</f>
        <v>216.9849999999999</v>
      </c>
      <c r="AR24" s="103">
        <f>'Fin. Highlights - FY'!K24</f>
        <v>815.78099999999995</v>
      </c>
      <c r="AS24" s="101">
        <v>228.483</v>
      </c>
      <c r="AT24" s="100">
        <f>IFERROR(AU24-AS24,"n.a.")</f>
        <v>253.07600000000002</v>
      </c>
      <c r="AU24" s="101">
        <v>481.55900000000003</v>
      </c>
      <c r="AV24" s="100">
        <f>IFERROR(AW24-AU24,"n.a.")</f>
        <v>271.89399999999995</v>
      </c>
      <c r="AW24" s="101">
        <v>753.45299999999997</v>
      </c>
      <c r="AX24" s="100">
        <f>IFERROR(AY24-AW24,"n.a.")</f>
        <v>224.33000000000004</v>
      </c>
      <c r="AY24" s="103">
        <f>'Fin. Highlights - FY'!L24</f>
        <v>977.78300000000002</v>
      </c>
      <c r="AZ24" s="101">
        <v>248.13</v>
      </c>
      <c r="BA24" s="100">
        <f>IFERROR(BB24-AZ24,"n.a.")</f>
        <v>269.27</v>
      </c>
      <c r="BB24" s="101">
        <v>517.4</v>
      </c>
      <c r="BC24" s="100">
        <f>IFERROR(BD24-BB24,"n.a.")</f>
        <v>265.09357113620206</v>
      </c>
      <c r="BD24" s="101">
        <v>782.49357113620204</v>
      </c>
    </row>
    <row r="25" spans="1:59" x14ac:dyDescent="0.2">
      <c r="A25" s="163" t="s">
        <v>204</v>
      </c>
      <c r="B25" s="46"/>
      <c r="C25" s="46">
        <f t="shared" ref="C25:AE25" si="21">IFERROR(C24/C7,"n.a.")</f>
        <v>0.17241087306291811</v>
      </c>
      <c r="D25" s="46">
        <f t="shared" si="21"/>
        <v>0.1682182985553772</v>
      </c>
      <c r="E25" s="46">
        <f t="shared" si="21"/>
        <v>0.1702583542791215</v>
      </c>
      <c r="F25" s="46">
        <f t="shared" si="21"/>
        <v>0.16216005001562986</v>
      </c>
      <c r="G25" s="46">
        <f t="shared" si="21"/>
        <v>0.16746256576284904</v>
      </c>
      <c r="H25" s="46">
        <f t="shared" si="21"/>
        <v>0.17609552278296814</v>
      </c>
      <c r="I25" s="46">
        <f t="shared" si="21"/>
        <v>0.16966555716225157</v>
      </c>
      <c r="J25" s="46">
        <f t="shared" si="21"/>
        <v>0.15306503397297094</v>
      </c>
      <c r="K25" s="46">
        <f t="shared" si="21"/>
        <v>0.15690936106983655</v>
      </c>
      <c r="L25" s="46">
        <f t="shared" si="21"/>
        <v>0.15499199344579748</v>
      </c>
      <c r="M25" s="46">
        <f t="shared" si="21"/>
        <v>0.16701152822938226</v>
      </c>
      <c r="N25" s="46">
        <f t="shared" si="21"/>
        <v>0.15901943791011516</v>
      </c>
      <c r="O25" s="46">
        <f t="shared" si="21"/>
        <v>0.17826478790904995</v>
      </c>
      <c r="P25" s="46">
        <f t="shared" si="21"/>
        <v>0.16374342429276817</v>
      </c>
      <c r="Q25" s="46">
        <f t="shared" si="21"/>
        <v>0.16668396597937515</v>
      </c>
      <c r="R25" s="46">
        <f t="shared" si="21"/>
        <v>0.17552551597077654</v>
      </c>
      <c r="S25" s="46">
        <f t="shared" si="21"/>
        <v>0.17112116488613466</v>
      </c>
      <c r="T25" s="46">
        <f t="shared" si="21"/>
        <v>0.19306510155224341</v>
      </c>
      <c r="U25" s="46">
        <f t="shared" si="21"/>
        <v>0.17836033832670947</v>
      </c>
      <c r="V25" s="46">
        <f t="shared" si="21"/>
        <v>0.20082504506548671</v>
      </c>
      <c r="W25" s="46">
        <f t="shared" si="21"/>
        <v>0.18384957524010173</v>
      </c>
      <c r="X25" s="46">
        <f t="shared" si="21"/>
        <v>0.16682320955028299</v>
      </c>
      <c r="Y25" s="46">
        <f t="shared" si="21"/>
        <v>0.16504143429087451</v>
      </c>
      <c r="Z25" s="46">
        <f t="shared" si="21"/>
        <v>0.16592318265147885</v>
      </c>
      <c r="AA25" s="46">
        <f t="shared" si="21"/>
        <v>0.17697628952018069</v>
      </c>
      <c r="AB25" s="46">
        <f t="shared" si="21"/>
        <v>0.16970635103102183</v>
      </c>
      <c r="AC25" s="46">
        <f t="shared" si="21"/>
        <v>0.18054371403989686</v>
      </c>
      <c r="AD25" s="46">
        <f t="shared" si="21"/>
        <v>0.17232591897920235</v>
      </c>
      <c r="AE25" s="46">
        <f t="shared" si="21"/>
        <v>0.13415153693708087</v>
      </c>
      <c r="AF25" s="46">
        <f>IFERROR(AF24/AF7,"n.a.")</f>
        <v>-9.728354450570495E-2</v>
      </c>
      <c r="AG25" s="46">
        <f>IFERROR(AG24/AG7,"n.a.")</f>
        <v>3.6699480133823015E-2</v>
      </c>
      <c r="AH25" s="46">
        <f>IFERROR(AH24/AH7,"n.a.")</f>
        <v>0.16733194979493518</v>
      </c>
      <c r="AI25" s="46">
        <f>IFERROR(AI24/AI7,"n.a.")</f>
        <v>9.0635878506575993E-2</v>
      </c>
      <c r="AJ25" s="46">
        <f>IFERROR(AJ24/AJ7,"n.a.")</f>
        <v>0.18270944077676007</v>
      </c>
      <c r="AK25" s="46">
        <f t="shared" ref="AK25:AQ25" si="22">IFERROR(AK24/AK7,"n.a.")</f>
        <v>0.11649575524315739</v>
      </c>
      <c r="AL25" s="46">
        <f t="shared" si="22"/>
        <v>0.13557400690117818</v>
      </c>
      <c r="AM25" s="46">
        <f>IFERROR(AM24/AM7,"n.a.")</f>
        <v>0.158025824807632</v>
      </c>
      <c r="AN25" s="46">
        <f t="shared" si="22"/>
        <v>0.14712997803762495</v>
      </c>
      <c r="AO25" s="46">
        <f t="shared" si="22"/>
        <v>0.15654476171623696</v>
      </c>
      <c r="AP25" s="46">
        <f t="shared" si="22"/>
        <v>0.15047844070323257</v>
      </c>
      <c r="AQ25" s="46">
        <f t="shared" si="22"/>
        <v>0.16047180492970917</v>
      </c>
      <c r="AR25" s="46">
        <f t="shared" ref="AR25:AW25" si="23">IFERROR(AR24/AR7,"n.a.")</f>
        <v>0.15301297020510368</v>
      </c>
      <c r="AS25" s="46">
        <f t="shared" si="23"/>
        <v>0.15020994799127732</v>
      </c>
      <c r="AT25" s="46">
        <f>IFERROR(AT24/AT7,"n.a.")</f>
        <v>0.15101207375768708</v>
      </c>
      <c r="AU25" s="46">
        <f t="shared" si="23"/>
        <v>0.15063042762226705</v>
      </c>
      <c r="AV25" s="46">
        <f t="shared" si="23"/>
        <v>0.14805775414464672</v>
      </c>
      <c r="AW25" s="46">
        <f t="shared" si="23"/>
        <v>0.14969328346822133</v>
      </c>
      <c r="AX25" s="46">
        <f t="shared" ref="AX25:BD25" si="24">IFERROR(AX24/AX7,"n.a.")</f>
        <v>0.14176674747280696</v>
      </c>
      <c r="AY25" s="46">
        <f t="shared" si="24"/>
        <v>0.14779736082349562</v>
      </c>
      <c r="AZ25" s="46">
        <f t="shared" si="24"/>
        <v>0.14598115005824419</v>
      </c>
      <c r="BA25" s="46">
        <f t="shared" si="24"/>
        <v>0.15495235245373354</v>
      </c>
      <c r="BB25" s="46">
        <f t="shared" si="24"/>
        <v>0.15051636363636364</v>
      </c>
      <c r="BC25" s="46">
        <f t="shared" si="24"/>
        <v>0.15387537425604422</v>
      </c>
      <c r="BD25" s="46">
        <f t="shared" si="24"/>
        <v>0.15163925241645229</v>
      </c>
    </row>
    <row r="26" spans="1:59" ht="15" hidden="1" customHeight="1" outlineLevel="1" x14ac:dyDescent="0.2">
      <c r="A26" s="35" t="s">
        <v>30</v>
      </c>
      <c r="B26" s="65"/>
      <c r="C26" s="65">
        <v>-26.2</v>
      </c>
      <c r="D26" s="77">
        <f>E26-C26</f>
        <v>-26.099999999999998</v>
      </c>
      <c r="E26" s="65">
        <v>-52.3</v>
      </c>
      <c r="F26" s="77">
        <f>G26-E26</f>
        <v>-26.100000000000009</v>
      </c>
      <c r="G26" s="65">
        <v>-78.400000000000006</v>
      </c>
      <c r="H26" s="77">
        <f>I26-G26</f>
        <v>-26.199999999999989</v>
      </c>
      <c r="I26" s="52">
        <f>'Fin. Highlights - FY'!F26</f>
        <v>-104.6</v>
      </c>
      <c r="J26" s="65">
        <v>-26.2</v>
      </c>
      <c r="K26" s="77">
        <f>L26-J26</f>
        <v>-26.099999999999998</v>
      </c>
      <c r="L26" s="65">
        <v>-52.3</v>
      </c>
      <c r="M26" s="77">
        <f>N26-L26</f>
        <v>-28.600000000000009</v>
      </c>
      <c r="N26" s="65">
        <v>-80.900000000000006</v>
      </c>
      <c r="O26" s="77">
        <f>P26-N26</f>
        <v>-28.699999999999989</v>
      </c>
      <c r="P26" s="52">
        <f>'Fin. Highlights - FY'!G26</f>
        <v>-109.6</v>
      </c>
      <c r="Q26" s="65">
        <v>-28.7</v>
      </c>
      <c r="R26" s="77">
        <f>IFERROR(S26-Q26,"n.a.")</f>
        <v>-28.599999999999998</v>
      </c>
      <c r="S26" s="65">
        <v>-57.3</v>
      </c>
      <c r="T26" s="77">
        <f>IFERROR(U26-S26,"n.a.")</f>
        <v>-28.700000000000003</v>
      </c>
      <c r="U26" s="65">
        <v>-86</v>
      </c>
      <c r="V26" s="77">
        <f>IFERROR(W26-U26,"n.a.")</f>
        <v>-28.599999999999994</v>
      </c>
      <c r="W26" s="52">
        <f>'Fin. Highlights - FY'!H26</f>
        <v>-114.6</v>
      </c>
      <c r="X26" s="65">
        <v>-28.65</v>
      </c>
      <c r="Y26" s="77">
        <f>IFERROR(Z26-X26,"n.a.")</f>
        <v>-28.65</v>
      </c>
      <c r="Z26" s="65">
        <v>-57.3</v>
      </c>
      <c r="AA26" s="77">
        <f>IFERROR(AB26-Z26,"n.a.")</f>
        <v>-28.700000000000003</v>
      </c>
      <c r="AB26" s="65">
        <v>-86</v>
      </c>
      <c r="AC26" s="77">
        <f>IFERROR(AD26-AB26,"n.a.")</f>
        <v>-28.599999999999994</v>
      </c>
      <c r="AD26" s="52">
        <f>'Fin. Highlights - FY'!I26</f>
        <v>-114.6</v>
      </c>
      <c r="AE26" s="65">
        <v>-28.65</v>
      </c>
      <c r="AF26" s="77">
        <f>IFERROR(AG26-AE26,"n.a.")</f>
        <v>-28.65</v>
      </c>
      <c r="AG26" s="65">
        <v>-57.3</v>
      </c>
      <c r="AH26" s="77">
        <f>IFERROR(AI26-AG26,"n.a.")</f>
        <v>-28.700000000000003</v>
      </c>
      <c r="AI26" s="65">
        <v>-86</v>
      </c>
      <c r="AJ26" s="77">
        <f>IFERROR(AK26-AI26,"n.a.")</f>
        <v>-28.599999999999994</v>
      </c>
      <c r="AK26" s="52">
        <f>'Fin. Highlights - FY'!J26</f>
        <v>-114.6</v>
      </c>
      <c r="AL26" s="65">
        <v>-28.427</v>
      </c>
      <c r="AM26" s="77">
        <f>IFERROR(AN26-AL26,"n.a.")</f>
        <v>-28.450000000000003</v>
      </c>
      <c r="AN26" s="65">
        <v>-56.877000000000002</v>
      </c>
      <c r="AO26" s="77">
        <f>IFERROR(AP26-AN26,"n.a.")</f>
        <v>-28.402999999999999</v>
      </c>
      <c r="AP26" s="65">
        <v>-85.28</v>
      </c>
      <c r="AQ26" s="77">
        <f>IFERROR(AR26-AP26,"n.a.")</f>
        <v>-28.42</v>
      </c>
      <c r="AR26" s="52">
        <f>'Fin. Highlights - FY'!K26</f>
        <v>-113.7</v>
      </c>
      <c r="AS26" s="65">
        <v>-28.4</v>
      </c>
      <c r="AT26" s="77">
        <f>IFERROR(AU26-AS26,"n.a.")</f>
        <v>-28.451999999999998</v>
      </c>
      <c r="AU26" s="65">
        <v>-56.851999999999997</v>
      </c>
      <c r="AV26" s="77">
        <f>IFERROR(AW26-AU26,"n.a.")</f>
        <v>-28.428000000000004</v>
      </c>
      <c r="AW26" s="65">
        <v>-85.28</v>
      </c>
      <c r="AX26" s="77">
        <f>IFERROR(AY26-AW26,"n.a.")</f>
        <v>-28.426999999999992</v>
      </c>
      <c r="AY26" s="52">
        <f>'Fin. Highlights - FY'!L26</f>
        <v>-113.70699999999999</v>
      </c>
      <c r="AZ26" s="175">
        <v>-28.427</v>
      </c>
      <c r="BA26" s="77">
        <f>IFERROR(BB26-AZ26,"n.a.")</f>
        <v>-28.423000000000002</v>
      </c>
      <c r="BB26" s="65">
        <v>-56.85</v>
      </c>
      <c r="BC26" s="77">
        <f>IFERROR(BD26-BB26,"n.a.")</f>
        <v>-28.43</v>
      </c>
      <c r="BD26" s="65">
        <v>-85.28</v>
      </c>
    </row>
    <row r="27" spans="1:59" ht="15" hidden="1" customHeight="1" outlineLevel="1" x14ac:dyDescent="0.2">
      <c r="A27" s="29" t="s">
        <v>330</v>
      </c>
      <c r="B27" s="68"/>
      <c r="C27" s="68">
        <v>-11.3</v>
      </c>
      <c r="D27" s="80">
        <f>E27-C27</f>
        <v>-8.0999999999999979</v>
      </c>
      <c r="E27" s="68">
        <v>-19.399999999999999</v>
      </c>
      <c r="F27" s="80">
        <f>G27-E27</f>
        <v>-9.2000000000000028</v>
      </c>
      <c r="G27" s="68">
        <v>-28.6</v>
      </c>
      <c r="H27" s="80">
        <f>I27-G27+0.05</f>
        <v>-24.620999999999999</v>
      </c>
      <c r="I27" s="74">
        <f>'Fin. Highlights - FY'!F27</f>
        <v>-53.271000000000001</v>
      </c>
      <c r="J27" s="68">
        <v>-10.1</v>
      </c>
      <c r="K27" s="80">
        <f>L27-J27</f>
        <v>-35.6</v>
      </c>
      <c r="L27" s="68">
        <v>-45.7</v>
      </c>
      <c r="M27" s="80">
        <f>N27-L27</f>
        <v>25.500000000000004</v>
      </c>
      <c r="N27" s="68">
        <v>-20.2</v>
      </c>
      <c r="O27" s="80">
        <f>P27-N27</f>
        <v>-73</v>
      </c>
      <c r="P27" s="74">
        <f>'Fin. Highlights - FY'!G27</f>
        <v>-93.2</v>
      </c>
      <c r="Q27" s="68">
        <v>-5.7</v>
      </c>
      <c r="R27" s="80">
        <f>IFERROR(S27-Q27,"n.a.")</f>
        <v>-9.3999999999999986</v>
      </c>
      <c r="S27" s="68">
        <v>-15.1</v>
      </c>
      <c r="T27" s="80">
        <f>IFERROR(U27-S27,"n.a.")</f>
        <v>-7.6</v>
      </c>
      <c r="U27" s="68">
        <v>-22.7</v>
      </c>
      <c r="V27" s="80">
        <f>IFERROR(W27-U27,"n.a.")</f>
        <v>-114.60000000000001</v>
      </c>
      <c r="W27" s="74">
        <f>'Fin. Highlights - FY'!H27</f>
        <v>-137.30000000000001</v>
      </c>
      <c r="X27" s="68">
        <v>-7.4480000000000004</v>
      </c>
      <c r="Y27" s="77">
        <f>IFERROR(Z27-X27,"n.a.")</f>
        <v>49.247999999999998</v>
      </c>
      <c r="Z27" s="85">
        <v>41.8</v>
      </c>
      <c r="AA27" s="79">
        <f>IFERROR(AB27-Z27,"n.a.")</f>
        <v>-42.9</v>
      </c>
      <c r="AB27" s="85">
        <v>-1.1000000000000001</v>
      </c>
      <c r="AC27" s="77">
        <f>IFERROR(AD27-AB27,"n.a.")</f>
        <v>-58.894999999999996</v>
      </c>
      <c r="AD27" s="52">
        <f>'Fin. Highlights - FY'!I27</f>
        <v>-59.994999999999997</v>
      </c>
      <c r="AE27" s="68">
        <v>-24.048999999999999</v>
      </c>
      <c r="AF27" s="80">
        <f>IFERROR(AG27-AE27,"n.a.")</f>
        <v>-42.101000000000006</v>
      </c>
      <c r="AG27" s="68">
        <v>-66.150000000000006</v>
      </c>
      <c r="AH27" s="80">
        <f>IFERROR(AI27-AG27,"n.a.")</f>
        <v>-32.649999999999991</v>
      </c>
      <c r="AI27" s="85">
        <v>-98.8</v>
      </c>
      <c r="AJ27" s="79">
        <f>IFERROR(AK27-AI27,"n.a.")</f>
        <v>-68.64200000000001</v>
      </c>
      <c r="AK27" s="73">
        <f>'Fin. Highlights - FY'!J27</f>
        <v>-167.44200000000001</v>
      </c>
      <c r="AL27" s="85">
        <v>-42.956000000000003</v>
      </c>
      <c r="AM27" s="80">
        <f>IFERROR(AN27-AL27,"n.a.")</f>
        <v>-28.929999999999993</v>
      </c>
      <c r="AN27" s="68">
        <v>-71.885999999999996</v>
      </c>
      <c r="AO27" s="80">
        <f>IFERROR(AP27-AN27,"n.a.")</f>
        <v>-15.314000000000007</v>
      </c>
      <c r="AP27" s="85">
        <v>-87.2</v>
      </c>
      <c r="AQ27" s="79">
        <f>IFERROR(AR27-AP27,"n.a.")</f>
        <v>-37.780999999999992</v>
      </c>
      <c r="AR27" s="73">
        <f>'Fin. Highlights - FY'!K27</f>
        <v>-124.98099999999999</v>
      </c>
      <c r="AS27" s="85">
        <v>-7.4790000000000001</v>
      </c>
      <c r="AT27" s="80">
        <f>IFERROR(AU27-AS27,"n.a.")</f>
        <v>-12.003</v>
      </c>
      <c r="AU27" s="68">
        <v>-19.481999999999999</v>
      </c>
      <c r="AV27" s="80">
        <f>IFERROR(AW27-AU27,"n.a.")</f>
        <v>-16.47</v>
      </c>
      <c r="AW27" s="85">
        <v>-35.951999999999998</v>
      </c>
      <c r="AX27" s="79">
        <f>IFERROR(AY27-AW27,"n.a.")</f>
        <v>-36.646000000000001</v>
      </c>
      <c r="AY27" s="73">
        <f>'Fin. Highlights - FY'!L27</f>
        <v>-72.597999999999999</v>
      </c>
      <c r="AZ27" s="85">
        <v>-8.9789999999999992</v>
      </c>
      <c r="BA27" s="80">
        <f>IFERROR(BB27-AZ27,"n.a.")</f>
        <v>-11.551000000000002</v>
      </c>
      <c r="BB27" s="68">
        <v>-20.53</v>
      </c>
      <c r="BC27" s="80">
        <f>IFERROR(BD27-BB27,"n.a.")</f>
        <v>-8.4163201361980988</v>
      </c>
      <c r="BD27" s="85">
        <v>-28.9463201361981</v>
      </c>
    </row>
    <row r="28" spans="1:59" collapsed="1" x14ac:dyDescent="0.2">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row>
    <row r="29" spans="1:59" ht="15" hidden="1" customHeight="1" outlineLevel="2" x14ac:dyDescent="0.2">
      <c r="A29" s="29"/>
      <c r="B29" s="68"/>
      <c r="C29" s="68"/>
      <c r="D29" s="80"/>
      <c r="E29" s="68"/>
      <c r="F29" s="80"/>
      <c r="G29" s="68"/>
      <c r="H29" s="80"/>
      <c r="I29" s="74"/>
      <c r="J29" s="68"/>
      <c r="K29" s="80"/>
      <c r="L29" s="68"/>
      <c r="M29" s="80"/>
      <c r="N29" s="68"/>
      <c r="O29" s="80"/>
      <c r="P29" s="74"/>
      <c r="Q29" s="68"/>
      <c r="R29" s="80"/>
      <c r="S29" s="68"/>
      <c r="T29" s="80"/>
      <c r="U29" s="68"/>
      <c r="V29" s="80"/>
      <c r="W29" s="74"/>
      <c r="X29" s="68"/>
      <c r="Y29" s="80"/>
      <c r="Z29" s="68"/>
      <c r="AA29" s="80"/>
      <c r="AB29" s="68"/>
      <c r="AC29" s="80"/>
      <c r="AD29" s="74"/>
      <c r="AE29" s="68"/>
      <c r="AF29" s="80"/>
      <c r="AG29" s="68"/>
      <c r="AH29" s="80"/>
      <c r="AI29" s="68"/>
      <c r="AJ29" s="80"/>
      <c r="AK29" s="74"/>
      <c r="AL29" s="68"/>
      <c r="AM29" s="80"/>
      <c r="AN29" s="68"/>
      <c r="AO29" s="80"/>
      <c r="AP29" s="68"/>
      <c r="AQ29" s="80"/>
      <c r="AR29" s="74"/>
      <c r="AS29" s="68"/>
      <c r="AT29" s="80"/>
      <c r="AU29" s="68"/>
      <c r="AV29" s="80"/>
      <c r="AW29" s="68"/>
      <c r="AX29" s="80"/>
      <c r="AY29" s="74"/>
      <c r="AZ29" s="68"/>
      <c r="BA29" s="80"/>
      <c r="BB29" s="68"/>
      <c r="BC29" s="80"/>
      <c r="BD29" s="68"/>
    </row>
    <row r="30" spans="1:59" ht="15" hidden="1" customHeight="1" outlineLevel="2" x14ac:dyDescent="0.2">
      <c r="A30" s="29"/>
      <c r="B30" s="68"/>
      <c r="C30" s="68"/>
      <c r="D30" s="80"/>
      <c r="E30" s="68"/>
      <c r="F30" s="80"/>
      <c r="G30" s="68"/>
      <c r="H30" s="80"/>
      <c r="I30" s="74"/>
      <c r="J30" s="68"/>
      <c r="K30" s="80"/>
      <c r="L30" s="68"/>
      <c r="M30" s="80"/>
      <c r="N30" s="68"/>
      <c r="O30" s="80"/>
      <c r="P30" s="74"/>
      <c r="Q30" s="68"/>
      <c r="R30" s="80"/>
      <c r="S30" s="68"/>
      <c r="T30" s="80"/>
      <c r="U30" s="68"/>
      <c r="V30" s="80"/>
      <c r="W30" s="74"/>
      <c r="X30" s="68"/>
      <c r="Y30" s="80"/>
      <c r="Z30" s="68"/>
      <c r="AA30" s="80"/>
      <c r="AB30" s="68"/>
      <c r="AC30" s="80"/>
      <c r="AD30" s="74"/>
      <c r="AE30" s="68"/>
      <c r="AF30" s="80"/>
      <c r="AG30" s="68"/>
      <c r="AH30" s="80"/>
      <c r="AI30" s="68"/>
      <c r="AJ30" s="80"/>
      <c r="AK30" s="74"/>
      <c r="AL30" s="68"/>
      <c r="AM30" s="80"/>
      <c r="AN30" s="68"/>
      <c r="AO30" s="80"/>
      <c r="AP30" s="68"/>
      <c r="AQ30" s="80"/>
      <c r="AR30" s="74"/>
      <c r="AS30" s="68"/>
      <c r="AT30" s="80"/>
      <c r="AU30" s="68"/>
      <c r="AV30" s="80"/>
      <c r="AW30" s="68"/>
      <c r="AX30" s="80"/>
      <c r="AY30" s="74"/>
      <c r="AZ30" s="68"/>
      <c r="BA30" s="80"/>
      <c r="BB30" s="68"/>
      <c r="BC30" s="80"/>
      <c r="BD30" s="68"/>
    </row>
    <row r="31" spans="1:59" s="22" customFormat="1" collapsed="1" x14ac:dyDescent="0.2">
      <c r="A31" s="38" t="s">
        <v>12</v>
      </c>
      <c r="B31" s="47"/>
      <c r="C31" s="47">
        <f t="shared" ref="C31:V31" si="25">IFERROR(C24+C26+C27,"n.a.")</f>
        <v>166.1</v>
      </c>
      <c r="D31" s="47">
        <f t="shared" si="25"/>
        <v>175.4</v>
      </c>
      <c r="E31" s="47">
        <f t="shared" si="25"/>
        <v>341.5</v>
      </c>
      <c r="F31" s="47">
        <f t="shared" si="25"/>
        <v>172.19999999999993</v>
      </c>
      <c r="G31" s="47">
        <f t="shared" si="25"/>
        <v>513.69999999999993</v>
      </c>
      <c r="H31" s="47">
        <f t="shared" si="25"/>
        <v>172.80200000000005</v>
      </c>
      <c r="I31" s="47">
        <f t="shared" si="25"/>
        <v>686.452</v>
      </c>
      <c r="J31" s="47">
        <f t="shared" si="25"/>
        <v>168.70000000000002</v>
      </c>
      <c r="K31" s="47">
        <f t="shared" si="25"/>
        <v>149.49999999999994</v>
      </c>
      <c r="L31" s="47">
        <f t="shared" si="25"/>
        <v>318.19999999999993</v>
      </c>
      <c r="M31" s="47">
        <f t="shared" si="25"/>
        <v>222.90000000000009</v>
      </c>
      <c r="N31" s="47">
        <f t="shared" si="25"/>
        <v>541.1</v>
      </c>
      <c r="O31" s="47">
        <f t="shared" si="25"/>
        <v>132.5</v>
      </c>
      <c r="P31" s="47">
        <f t="shared" si="25"/>
        <v>673.59999999999991</v>
      </c>
      <c r="Q31" s="47">
        <f t="shared" si="25"/>
        <v>184.00000000000003</v>
      </c>
      <c r="R31" s="47">
        <f t="shared" si="25"/>
        <v>193.70000000000002</v>
      </c>
      <c r="S31" s="47">
        <f t="shared" si="25"/>
        <v>377.7</v>
      </c>
      <c r="T31" s="47">
        <f t="shared" si="25"/>
        <v>213.70000000000002</v>
      </c>
      <c r="U31" s="47">
        <f t="shared" si="25"/>
        <v>591.4</v>
      </c>
      <c r="V31" s="47">
        <f t="shared" si="25"/>
        <v>111.70000000000003</v>
      </c>
      <c r="W31" s="47">
        <f>IFERROR(W24+W26+W27,"n.a.")</f>
        <v>703.09999999999991</v>
      </c>
      <c r="X31" s="47">
        <f t="shared" ref="X31:AC31" si="26">IFERROR(X24+X26+X27,"n.a.")</f>
        <v>183.07499999999999</v>
      </c>
      <c r="Y31" s="47">
        <f t="shared" si="26"/>
        <v>241.92499999999998</v>
      </c>
      <c r="Z31" s="47">
        <f t="shared" si="26"/>
        <v>425</v>
      </c>
      <c r="AA31" s="47">
        <f t="shared" si="26"/>
        <v>172.89999999999995</v>
      </c>
      <c r="AB31" s="47">
        <f t="shared" si="26"/>
        <v>597.9</v>
      </c>
      <c r="AC31" s="47">
        <f t="shared" si="26"/>
        <v>144.80500000000006</v>
      </c>
      <c r="AD31" s="47">
        <f>IFERROR(AD24+AD26+AD27,"n.a.")</f>
        <v>742.70500000000004</v>
      </c>
      <c r="AE31" s="47">
        <f t="shared" ref="AE31:AJ31" si="27">IFERROR(AE24+AE26+AE27,"n.a.")</f>
        <v>88.370999999999981</v>
      </c>
      <c r="AF31" s="47">
        <f t="shared" si="27"/>
        <v>-145.15899999999999</v>
      </c>
      <c r="AG31" s="47">
        <f t="shared" si="27"/>
        <v>-56.787999999999997</v>
      </c>
      <c r="AH31" s="47">
        <f>IFERROR(AH24+AH26+AH27,"n.a.")</f>
        <v>152.39999999999998</v>
      </c>
      <c r="AI31" s="47">
        <f t="shared" si="27"/>
        <v>95.611999999999981</v>
      </c>
      <c r="AJ31" s="47">
        <f t="shared" si="27"/>
        <v>123.52600000000002</v>
      </c>
      <c r="AK31" s="47">
        <f t="shared" ref="AK31:AQ31" si="28">IFERROR(AK24+AK26+AK27,"n.a.")</f>
        <v>219.13800000000003</v>
      </c>
      <c r="AL31" s="47">
        <f t="shared" si="28"/>
        <v>97.368000000000009</v>
      </c>
      <c r="AM31" s="47">
        <f t="shared" si="28"/>
        <v>151.23399999999998</v>
      </c>
      <c r="AN31" s="47">
        <f t="shared" si="28"/>
        <v>248.602</v>
      </c>
      <c r="AO31" s="47">
        <f t="shared" si="28"/>
        <v>177.71400000000006</v>
      </c>
      <c r="AP31" s="47">
        <f t="shared" si="28"/>
        <v>426.31600000000009</v>
      </c>
      <c r="AQ31" s="47">
        <f t="shared" si="28"/>
        <v>150.78399999999988</v>
      </c>
      <c r="AR31" s="47">
        <f>IFERROR(AR24+AR26+AR27+AR29+AR30-0.046,"n.a.")</f>
        <v>577.05399999999986</v>
      </c>
      <c r="AS31" s="47">
        <f t="shared" ref="AS31:AX31" si="29">IFERROR(AS24+AS26+AS27,"n.a.")</f>
        <v>192.60399999999998</v>
      </c>
      <c r="AT31" s="47">
        <f t="shared" si="29"/>
        <v>212.62100000000004</v>
      </c>
      <c r="AU31" s="47">
        <f t="shared" si="29"/>
        <v>405.22500000000002</v>
      </c>
      <c r="AV31" s="47">
        <f t="shared" si="29"/>
        <v>226.99599999999995</v>
      </c>
      <c r="AW31" s="47">
        <f t="shared" si="29"/>
        <v>632.221</v>
      </c>
      <c r="AX31" s="47">
        <f t="shared" si="29"/>
        <v>159.25700000000006</v>
      </c>
      <c r="AY31" s="47">
        <f>IFERROR(AY24+AY26+AY27+AY29+AY30,"n.a.")</f>
        <v>791.47800000000007</v>
      </c>
      <c r="AZ31" s="47">
        <f>IFERROR(AZ24+AZ26+AZ27,"n.a.")</f>
        <v>210.72399999999999</v>
      </c>
      <c r="BA31" s="47">
        <f>IFERROR(BA24+BA26+BA27,"n.a.")</f>
        <v>229.29599999999999</v>
      </c>
      <c r="BB31" s="47">
        <f>IFERROR(BB24+BB26+BB27,"n.a.")</f>
        <v>440.02</v>
      </c>
      <c r="BC31" s="47">
        <f>IFERROR(BC24+BC26+BC27,"n.a.")</f>
        <v>228.24725100000396</v>
      </c>
      <c r="BD31" s="47">
        <f>IFERROR(BD24+BD26+BD27,"n.a.")</f>
        <v>668.26725100000397</v>
      </c>
    </row>
    <row r="32" spans="1:59" x14ac:dyDescent="0.2">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2"/>
      <c r="BF32" s="22"/>
      <c r="BG32" s="22"/>
    </row>
    <row r="33" spans="1:59" hidden="1" outlineLevel="1" x14ac:dyDescent="0.2">
      <c r="A33" s="35" t="s">
        <v>17</v>
      </c>
      <c r="B33" s="41"/>
      <c r="C33" s="41">
        <v>-42.5</v>
      </c>
      <c r="D33" s="77">
        <f>E33-C33</f>
        <v>-6.2999999999999972</v>
      </c>
      <c r="E33" s="41">
        <v>-48.8</v>
      </c>
      <c r="F33" s="77">
        <f>G33-E33</f>
        <v>-3.9000000000000057</v>
      </c>
      <c r="G33" s="41">
        <v>-52.7</v>
      </c>
      <c r="H33" s="77">
        <f>I33-G33</f>
        <v>32.681000000000004</v>
      </c>
      <c r="I33" s="52">
        <f>'Fin. Highlights - FY'!F33</f>
        <v>-20.018999999999998</v>
      </c>
      <c r="J33" s="41">
        <v>-3.1</v>
      </c>
      <c r="K33" s="77">
        <f>L33-J33</f>
        <v>-9.8000000000000007</v>
      </c>
      <c r="L33" s="41">
        <v>-12.9</v>
      </c>
      <c r="M33" s="77">
        <f>N33-L33</f>
        <v>-5.7000000000000011</v>
      </c>
      <c r="N33" s="41">
        <v>-18.600000000000001</v>
      </c>
      <c r="O33" s="77">
        <f>P33-N33</f>
        <v>11.745000000000001</v>
      </c>
      <c r="P33" s="52">
        <f>'Fin. Highlights - FY'!G33</f>
        <v>-6.8550000000000004</v>
      </c>
      <c r="Q33" s="41">
        <v>0.8</v>
      </c>
      <c r="R33" s="77">
        <f>IFERROR(S33-Q33,"n.a.")</f>
        <v>-5.3</v>
      </c>
      <c r="S33" s="41">
        <v>-4.5</v>
      </c>
      <c r="T33" s="77">
        <f>IFERROR(U33-S33,"n.a.")</f>
        <v>-3.3</v>
      </c>
      <c r="U33" s="41">
        <v>-7.8</v>
      </c>
      <c r="V33" s="77">
        <f>IFERROR(W33-U33,"n.a.")</f>
        <v>2.8000000000000007</v>
      </c>
      <c r="W33" s="52">
        <f>'Fin. Highlights - FY'!H33</f>
        <v>-4.9999999999999991</v>
      </c>
      <c r="X33" s="41">
        <v>2.012</v>
      </c>
      <c r="Y33" s="77">
        <f>IFERROR(Z33-X33,"n.a.")</f>
        <v>8.8000000000000078E-2</v>
      </c>
      <c r="Z33" s="41">
        <v>2.1</v>
      </c>
      <c r="AA33" s="77">
        <f>IFERROR(AB33-Z33,"n.a.")</f>
        <v>-0.70000000000000018</v>
      </c>
      <c r="AB33" s="41">
        <v>1.4</v>
      </c>
      <c r="AC33" s="77">
        <f>IFERROR(AD33-AB33,"n.a.")</f>
        <v>-12.405000000000001</v>
      </c>
      <c r="AD33" s="52">
        <f>'Fin. Highlights - FY'!I33</f>
        <v>-11.005000000000001</v>
      </c>
      <c r="AE33" s="41">
        <v>-5.2880000000000003</v>
      </c>
      <c r="AF33" s="77">
        <f>IFERROR(AG33-AE33,"n.a.")</f>
        <v>0.65500000000000025</v>
      </c>
      <c r="AG33" s="41">
        <v>-4.633</v>
      </c>
      <c r="AH33" s="77">
        <f>IFERROR(AI33-AG33,"n.a.")</f>
        <v>-1.4749999999999996</v>
      </c>
      <c r="AI33" s="41">
        <v>-6.1079999999999997</v>
      </c>
      <c r="AJ33" s="77">
        <f>IFERROR(AK33-AI33,"n.a.")</f>
        <v>0.83699999999999974</v>
      </c>
      <c r="AK33" s="52">
        <f>'Fin. Highlights - FY'!J33</f>
        <v>-5.2709999999999999</v>
      </c>
      <c r="AL33" s="41">
        <v>-9.1999999999999998E-2</v>
      </c>
      <c r="AM33" s="77">
        <f>IFERROR(AN33-AL33,"n.a.")</f>
        <v>2.0819999999999999</v>
      </c>
      <c r="AN33" s="41">
        <v>1.99</v>
      </c>
      <c r="AO33" s="77">
        <f>IFERROR(AP33-AN33,"n.a.")</f>
        <v>-0.377</v>
      </c>
      <c r="AP33" s="41">
        <v>1.613</v>
      </c>
      <c r="AQ33" s="77">
        <f>IFERROR(AR33-AP33,"n.a.")</f>
        <v>2.3650000000000002</v>
      </c>
      <c r="AR33" s="52">
        <f>'Fin. Highlights - FY'!K33</f>
        <v>3.9780000000000002</v>
      </c>
      <c r="AS33" s="41">
        <v>0.76900000000000002</v>
      </c>
      <c r="AT33" s="81">
        <f>IFERROR(AU33-AS33,"n.a.")</f>
        <v>1.552</v>
      </c>
      <c r="AU33" s="228">
        <v>2.3210000000000002</v>
      </c>
      <c r="AV33" s="81">
        <v>0.8</v>
      </c>
      <c r="AW33" s="228">
        <v>3.1</v>
      </c>
      <c r="AX33" s="77">
        <f>IFERROR(AY33-AW33,"n.a.")</f>
        <v>2.7470000000000003</v>
      </c>
      <c r="AY33" s="52">
        <f>'Fin. Highlights - FY'!L33</f>
        <v>5.8470000000000004</v>
      </c>
      <c r="AZ33" s="41">
        <v>2.323</v>
      </c>
      <c r="BA33" s="81">
        <f>IFERROR(BB33-AZ33,"n.a.")</f>
        <v>3.887</v>
      </c>
      <c r="BB33" s="228">
        <v>6.21</v>
      </c>
      <c r="BC33" s="81">
        <v>2.7</v>
      </c>
      <c r="BD33" s="228">
        <v>8.8819999999999997</v>
      </c>
      <c r="BE33" s="255"/>
      <c r="BF33" s="114"/>
      <c r="BG33" s="22"/>
    </row>
    <row r="34" spans="1:59" hidden="1" outlineLevel="2" x14ac:dyDescent="0.2">
      <c r="A34" s="29"/>
      <c r="B34" s="42"/>
      <c r="C34" s="42"/>
      <c r="D34" s="80"/>
      <c r="E34" s="42"/>
      <c r="F34" s="80"/>
      <c r="G34" s="42"/>
      <c r="H34" s="80"/>
      <c r="I34" s="74"/>
      <c r="J34" s="42"/>
      <c r="K34" s="80"/>
      <c r="L34" s="42"/>
      <c r="M34" s="80"/>
      <c r="N34" s="42"/>
      <c r="O34" s="80"/>
      <c r="P34" s="74"/>
      <c r="Q34" s="42"/>
      <c r="R34" s="80"/>
      <c r="S34" s="42"/>
      <c r="T34" s="80"/>
      <c r="U34" s="42"/>
      <c r="V34" s="80"/>
      <c r="W34" s="74"/>
      <c r="X34" s="42"/>
      <c r="Y34" s="80"/>
      <c r="Z34" s="42"/>
      <c r="AA34" s="80"/>
      <c r="AB34" s="42"/>
      <c r="AC34" s="80"/>
      <c r="AD34" s="74"/>
      <c r="AE34" s="42"/>
      <c r="AF34" s="80"/>
      <c r="AG34" s="42"/>
      <c r="AH34" s="80"/>
      <c r="AI34" s="42"/>
      <c r="AJ34" s="80"/>
      <c r="AK34" s="74"/>
      <c r="AL34" s="42"/>
      <c r="AM34" s="80"/>
      <c r="AN34" s="42"/>
      <c r="AO34" s="80"/>
      <c r="AP34" s="42"/>
      <c r="AQ34" s="80"/>
      <c r="AR34" s="74"/>
      <c r="AS34" s="42"/>
      <c r="AT34" s="80"/>
      <c r="AU34" s="42"/>
      <c r="AV34" s="80"/>
      <c r="AW34" s="42"/>
      <c r="AX34" s="80"/>
      <c r="AY34" s="74"/>
      <c r="AZ34" s="42"/>
      <c r="BA34" s="80"/>
      <c r="BB34" s="42"/>
      <c r="BC34" s="80"/>
      <c r="BD34" s="42"/>
      <c r="BE34" s="22"/>
      <c r="BF34" s="22"/>
      <c r="BG34" s="22"/>
    </row>
    <row r="35" spans="1:59" hidden="1" outlineLevel="1" x14ac:dyDescent="0.2">
      <c r="A35" s="29" t="s">
        <v>118</v>
      </c>
      <c r="B35" s="42"/>
      <c r="C35" s="42">
        <v>-133.69999999999999</v>
      </c>
      <c r="D35" s="80">
        <f>E35-C35</f>
        <v>-118.70000000000002</v>
      </c>
      <c r="E35" s="42">
        <v>-252.4</v>
      </c>
      <c r="F35" s="80">
        <f>G35-E35</f>
        <v>-99.200000000000017</v>
      </c>
      <c r="G35" s="42">
        <v>-351.6</v>
      </c>
      <c r="H35" s="80">
        <f>I35-G35-0.07</f>
        <v>-75.659999999999968</v>
      </c>
      <c r="I35" s="74">
        <f>'Fin. Highlights - FY'!F35</f>
        <v>-427.19</v>
      </c>
      <c r="J35" s="42">
        <v>-77</v>
      </c>
      <c r="K35" s="80">
        <f>L35-J35</f>
        <v>-149.4</v>
      </c>
      <c r="L35" s="42">
        <v>-226.4</v>
      </c>
      <c r="M35" s="80">
        <f>N35-L35</f>
        <v>-63.500000000000028</v>
      </c>
      <c r="N35" s="42">
        <v>-289.90000000000003</v>
      </c>
      <c r="O35" s="80">
        <f>P35-N35</f>
        <v>-72.70999999999998</v>
      </c>
      <c r="P35" s="74">
        <f>'Fin. Highlights - FY'!G35</f>
        <v>-362.61</v>
      </c>
      <c r="Q35" s="42">
        <v>-55.200000000000031</v>
      </c>
      <c r="R35" s="80">
        <f>IFERROR(S35-Q35,"n.a.")</f>
        <v>-62.799999999999969</v>
      </c>
      <c r="S35" s="42">
        <v>-118</v>
      </c>
      <c r="T35" s="80">
        <f>IFERROR(U35-S35,"n.a.")</f>
        <v>-20.800000000000011</v>
      </c>
      <c r="U35" s="42">
        <v>-138.80000000000001</v>
      </c>
      <c r="V35" s="80">
        <f>IFERROR(W35-U35,"n.a.")</f>
        <v>-57.500000000000057</v>
      </c>
      <c r="W35" s="74">
        <f>'Fin. Highlights - FY'!H35</f>
        <v>-196.30000000000007</v>
      </c>
      <c r="X35" s="42">
        <f>-41.352-6.72</f>
        <v>-48.071999999999996</v>
      </c>
      <c r="Y35" s="77">
        <f>IFERROR(Z35-X35,"n.a.")</f>
        <v>38.071999999999996</v>
      </c>
      <c r="Z35" s="85">
        <v>-10</v>
      </c>
      <c r="AA35" s="77">
        <f>IFERROR(AB35-Z35,"n.a.")</f>
        <v>-65.2</v>
      </c>
      <c r="AB35" s="85">
        <v>-75.2</v>
      </c>
      <c r="AC35" s="77">
        <f>IFERROR(AD35-AB35,"n.a.")</f>
        <v>-34.278999999999996</v>
      </c>
      <c r="AD35" s="52">
        <f>'Fin. Highlights - FY'!I35</f>
        <v>-109.479</v>
      </c>
      <c r="AE35" s="42">
        <f>-26.604-5.87</f>
        <v>-32.473999999999997</v>
      </c>
      <c r="AF35" s="80">
        <f>IFERROR(AG35-AE35,"n.a.")</f>
        <v>-40.576000000000015</v>
      </c>
      <c r="AG35" s="42">
        <f>-62.023-11.127+0.1</f>
        <v>-73.050000000000011</v>
      </c>
      <c r="AH35" s="80">
        <f>IFERROR(AI35-AG35+0.05,"n.a.")</f>
        <v>-40.216999999999985</v>
      </c>
      <c r="AI35" s="42">
        <v>-113.31699999999999</v>
      </c>
      <c r="AJ35" s="80">
        <f>IFERROR(AK35-AI35,"n.a.")</f>
        <v>-43.112000000000009</v>
      </c>
      <c r="AK35" s="74">
        <f>'Fin. Highlights - FY'!J35</f>
        <v>-156.429</v>
      </c>
      <c r="AL35" s="42">
        <v>-40</v>
      </c>
      <c r="AM35" s="80">
        <f>IFERROR(AN35-AL35,"n.a.")</f>
        <v>-31.841999999999999</v>
      </c>
      <c r="AN35" s="42">
        <v>-71.841999999999999</v>
      </c>
      <c r="AO35" s="80">
        <f>IFERROR(AP35-AN35-0.05,"n.a.")</f>
        <v>-35.06</v>
      </c>
      <c r="AP35" s="42">
        <v>-106.852</v>
      </c>
      <c r="AQ35" s="80">
        <f>IFERROR(AR35-AP35,"n.a.")</f>
        <v>-37.429000000000002</v>
      </c>
      <c r="AR35" s="74">
        <f>'Fin. Highlights - FY'!K35</f>
        <v>-144.28100000000001</v>
      </c>
      <c r="AS35" s="42">
        <v>-43.581000000000003</v>
      </c>
      <c r="AT35" s="80">
        <f>IFERROR(AU35-AS35,"n.a.")</f>
        <v>-46.015999999999991</v>
      </c>
      <c r="AU35" s="42">
        <v>-89.596999999999994</v>
      </c>
      <c r="AV35" s="80">
        <f>IFERROR(AW35-AU35-0.05,"n.a.")</f>
        <v>-55.534999999999997</v>
      </c>
      <c r="AW35" s="42">
        <v>-145.08199999999999</v>
      </c>
      <c r="AX35" s="80">
        <f>IFERROR(AY35-AW35,"n.a.")</f>
        <v>-56.613</v>
      </c>
      <c r="AY35" s="74">
        <f>'Fin. Highlights - FY'!L35</f>
        <v>-201.69499999999999</v>
      </c>
      <c r="AZ35" s="42">
        <v>-52.249000000000002</v>
      </c>
      <c r="BA35" s="80">
        <f>IFERROR(BB35-AZ35,"n.a.")</f>
        <v>-54.600999999999992</v>
      </c>
      <c r="BB35" s="42">
        <v>-106.85</v>
      </c>
      <c r="BC35" s="80">
        <f>IFERROR(BD35-BB35-0.05,"n.a.")</f>
        <v>-43.333000000000013</v>
      </c>
      <c r="BD35" s="42">
        <v>-150.13300000000001</v>
      </c>
      <c r="BE35" s="22"/>
      <c r="BF35" s="22"/>
      <c r="BG35" s="22"/>
    </row>
    <row r="36" spans="1:59" hidden="1" outlineLevel="1" x14ac:dyDescent="0.2">
      <c r="A36" s="29" t="s">
        <v>19</v>
      </c>
      <c r="B36" s="42"/>
      <c r="C36" s="42">
        <v>-20.3</v>
      </c>
      <c r="D36" s="80">
        <f>E36-C36</f>
        <v>-26.400000000000002</v>
      </c>
      <c r="E36" s="42">
        <v>-46.7</v>
      </c>
      <c r="F36" s="80">
        <f>G36-E36</f>
        <v>-26.899999999999991</v>
      </c>
      <c r="G36" s="42">
        <v>-73.599999999999994</v>
      </c>
      <c r="H36" s="80">
        <f>I36-G36+0.05</f>
        <v>-1.6060000000000059</v>
      </c>
      <c r="I36" s="74">
        <f>'Fin. Highlights - FY'!F36</f>
        <v>-75.256</v>
      </c>
      <c r="J36" s="42">
        <v>-39.1</v>
      </c>
      <c r="K36" s="80">
        <f>L36-J36</f>
        <v>27.8</v>
      </c>
      <c r="L36" s="42">
        <v>-11.3</v>
      </c>
      <c r="M36" s="80">
        <f>N36-L36</f>
        <v>-22.400000000000002</v>
      </c>
      <c r="N36" s="42">
        <v>-33.700000000000003</v>
      </c>
      <c r="O36" s="80">
        <f>P36-N36</f>
        <v>-7.1479999999999961</v>
      </c>
      <c r="P36" s="74">
        <f>'Fin. Highlights - FY'!G36</f>
        <v>-40.847999999999999</v>
      </c>
      <c r="Q36" s="42">
        <v>-37.200000000000003</v>
      </c>
      <c r="R36" s="80">
        <f>IFERROR(S36-Q36,"n.a.")</f>
        <v>-36.099999999999994</v>
      </c>
      <c r="S36" s="42">
        <v>-73.3</v>
      </c>
      <c r="T36" s="80">
        <f>IFERROR(U36-S36,"n.a.")</f>
        <v>6.5999999999999943</v>
      </c>
      <c r="U36" s="67">
        <v>-66.7</v>
      </c>
      <c r="V36" s="80">
        <f>IFERROR(W36-U36,"n.a.")</f>
        <v>13.700000000000003</v>
      </c>
      <c r="W36" s="74">
        <f>'Fin. Highlights - FY'!H36</f>
        <v>-53</v>
      </c>
      <c r="X36" s="42">
        <v>-35.597000000000001</v>
      </c>
      <c r="Y36" s="77">
        <f>IFERROR(Z36-X36,"n.a.")</f>
        <v>-74.502999999999986</v>
      </c>
      <c r="Z36" s="67">
        <v>-110.1</v>
      </c>
      <c r="AA36" s="77">
        <f>IFERROR(AB36-Z36,"n.a.")</f>
        <v>-28.300000000000011</v>
      </c>
      <c r="AB36" s="67">
        <v>-138.4</v>
      </c>
      <c r="AC36" s="77">
        <f>IFERROR(AD36-AB36,"n.a.")</f>
        <v>-26.162000000000006</v>
      </c>
      <c r="AD36" s="52">
        <f>'Fin. Highlights - FY'!I36</f>
        <v>-164.56200000000001</v>
      </c>
      <c r="AE36" s="42">
        <v>-12.146000000000001</v>
      </c>
      <c r="AF36" s="80">
        <f>IFERROR(AG36-AE36,"n.a.")</f>
        <v>44.927</v>
      </c>
      <c r="AG36" s="42">
        <f>32.881-0.1</f>
        <v>32.780999999999999</v>
      </c>
      <c r="AH36" s="80">
        <f>IFERROR(AI36-AG36,"n.a.")</f>
        <v>-26.827999999999999</v>
      </c>
      <c r="AI36" s="67">
        <v>5.9530000000000003</v>
      </c>
      <c r="AJ36" s="80">
        <f>IFERROR(AK36-AI36,"n.a.")</f>
        <v>-20.646000000000001</v>
      </c>
      <c r="AK36" s="74">
        <f>'Fin. Highlights - FY'!J36</f>
        <v>-14.693</v>
      </c>
      <c r="AL36" s="42">
        <v>-15.121</v>
      </c>
      <c r="AM36" s="80">
        <f>IFERROR(AN36-AL36,"n.a.")</f>
        <v>-32.073</v>
      </c>
      <c r="AN36" s="42">
        <v>-47.194000000000003</v>
      </c>
      <c r="AO36" s="80">
        <f>IFERROR(AP36-AN36,"n.a.")</f>
        <v>-37.557999999999993</v>
      </c>
      <c r="AP36" s="67">
        <v>-84.751999999999995</v>
      </c>
      <c r="AQ36" s="80">
        <f>IFERROR(AR36-AP36,"n.a.")</f>
        <v>-30.406000000000006</v>
      </c>
      <c r="AR36" s="74">
        <f>'Fin. Highlights - FY'!K36</f>
        <v>-115.158</v>
      </c>
      <c r="AS36" s="42">
        <v>-39.950000000000003</v>
      </c>
      <c r="AT36" s="79">
        <f>IFERROR(AU36-AS36+0.1,"n.a.")</f>
        <v>-44.863999999999997</v>
      </c>
      <c r="AU36" s="42">
        <v>-84.914000000000001</v>
      </c>
      <c r="AV36" s="80">
        <f>IFERROR(AW36-AU36,"n.a.")</f>
        <v>-45.966999999999999</v>
      </c>
      <c r="AW36" s="67">
        <v>-130.881</v>
      </c>
      <c r="AX36" s="80">
        <f>IFERROR(AY36-AW36+0.1,"n.a.")</f>
        <v>-28.753000000000007</v>
      </c>
      <c r="AY36" s="74">
        <f>'Fin. Highlights - FY'!L36</f>
        <v>-159.73400000000001</v>
      </c>
      <c r="AZ36" s="42">
        <v>-45.828000000000003</v>
      </c>
      <c r="BA36" s="79">
        <f>IFERROR(BB36-AZ36+0.1,"n.a.")</f>
        <v>-50.781999999999989</v>
      </c>
      <c r="BB36" s="42">
        <v>-96.71</v>
      </c>
      <c r="BC36" s="80">
        <f>IFERROR(BD36-BB36,"n.a.")</f>
        <v>-19.26700000000001</v>
      </c>
      <c r="BD36" s="67">
        <v>-115.977</v>
      </c>
      <c r="BE36" s="22"/>
      <c r="BF36" s="22"/>
      <c r="BG36" s="22"/>
    </row>
    <row r="37" spans="1:59" collapsed="1" x14ac:dyDescent="0.2">
      <c r="A37" s="45" t="s">
        <v>173</v>
      </c>
      <c r="B37" s="46"/>
      <c r="C37" s="46" t="s">
        <v>174</v>
      </c>
      <c r="D37" s="46" t="s">
        <v>174</v>
      </c>
      <c r="E37" s="46" t="s">
        <v>174</v>
      </c>
      <c r="F37" s="46">
        <f>IFERROR(F36/SUM(F31,F33,F34,F35),"n.a.")</f>
        <v>-0.38929088277858215</v>
      </c>
      <c r="G37" s="46">
        <f>IFERROR(G36/SUM(G31,G33,G34,G35),"n.a.")</f>
        <v>-0.67276051188299857</v>
      </c>
      <c r="H37" s="46" t="s">
        <v>174</v>
      </c>
      <c r="I37" s="46">
        <f>IFERROR(I36/SUM(I31,I33,I34,I35),"n.a.")</f>
        <v>-0.31455883766714177</v>
      </c>
      <c r="J37" s="46">
        <f>IFERROR(J36/SUM(J31,J33,J34,J35),"n.a.")</f>
        <v>-0.4413092550790067</v>
      </c>
      <c r="K37" s="46" t="s">
        <v>174</v>
      </c>
      <c r="L37" s="46">
        <f t="shared" ref="L37:AE37" si="30">IFERROR(L36/SUM(L31,L33,L34,L35),"n.a.")</f>
        <v>-0.1432192648922688</v>
      </c>
      <c r="M37" s="46">
        <f t="shared" si="30"/>
        <v>-0.14573845152895246</v>
      </c>
      <c r="N37" s="46">
        <f t="shared" si="30"/>
        <v>-0.14488392089423907</v>
      </c>
      <c r="O37" s="46">
        <f t="shared" si="30"/>
        <v>-9.9923114559306539E-2</v>
      </c>
      <c r="P37" s="46">
        <f t="shared" si="30"/>
        <v>-0.13430877735216273</v>
      </c>
      <c r="Q37" s="46">
        <f t="shared" si="30"/>
        <v>-0.28703703703703703</v>
      </c>
      <c r="R37" s="46">
        <f t="shared" si="30"/>
        <v>-0.28742038216560495</v>
      </c>
      <c r="S37" s="46">
        <f t="shared" si="30"/>
        <v>-0.28722570532915359</v>
      </c>
      <c r="T37" s="46">
        <f t="shared" si="30"/>
        <v>3.4810126582278451E-2</v>
      </c>
      <c r="U37" s="46">
        <f t="shared" si="30"/>
        <v>-0.14995503597122303</v>
      </c>
      <c r="V37" s="46">
        <f t="shared" si="30"/>
        <v>0.24035087719298262</v>
      </c>
      <c r="W37" s="46">
        <f t="shared" si="30"/>
        <v>-0.1056197688322041</v>
      </c>
      <c r="X37" s="46">
        <f t="shared" si="30"/>
        <v>-0.25980367113089814</v>
      </c>
      <c r="Y37" s="46">
        <f t="shared" si="30"/>
        <v>-0.26600139243443949</v>
      </c>
      <c r="Z37" s="46">
        <f t="shared" si="30"/>
        <v>-0.2639654759050587</v>
      </c>
      <c r="AA37" s="46">
        <f t="shared" si="30"/>
        <v>-0.26448598130841144</v>
      </c>
      <c r="AB37" s="46">
        <f t="shared" si="30"/>
        <v>-0.26407174203396305</v>
      </c>
      <c r="AC37" s="46">
        <f t="shared" si="30"/>
        <v>-0.26662997727295878</v>
      </c>
      <c r="AD37" s="46">
        <f t="shared" si="30"/>
        <v>-0.26447516236192609</v>
      </c>
      <c r="AE37" s="46">
        <f t="shared" si="30"/>
        <v>-0.239996838506985</v>
      </c>
      <c r="AF37" s="46">
        <f>IFERROR(AF36/SUM(AF31,AF33,AF34,AF35),"n.a.")</f>
        <v>-0.24274367840933647</v>
      </c>
      <c r="AG37" s="46">
        <f>IFERROR(AG36/SUM(AG31,AG33,AG34,AG35),"n.a.")</f>
        <v>-0.24377746874790845</v>
      </c>
      <c r="AH37" s="46">
        <f>IFERROR(AH36/SUM(AH31,AH33,AH34,AH35),"n.a.")</f>
        <v>-0.24233117751201358</v>
      </c>
      <c r="AI37" s="46">
        <f>IFERROR(AI36/SUM(AI31,AI33,AI34,AI35),"n.a.")</f>
        <v>-0.24998950153277605</v>
      </c>
      <c r="AJ37" s="46">
        <f>IFERROR(AJ36/SUM(AJ31,AJ33,AJ34,AJ35),"n.a.")</f>
        <v>-0.2541014879816863</v>
      </c>
      <c r="AK37" s="46">
        <f t="shared" ref="AK37:AQ37" si="31">IFERROR(AK36/SUM(AK31,AK33,AK34,AK35),"n.a.")</f>
        <v>-0.2558062606636719</v>
      </c>
      <c r="AL37" s="46">
        <f t="shared" si="31"/>
        <v>-0.2640023744674907</v>
      </c>
      <c r="AM37" s="46">
        <f t="shared" si="31"/>
        <v>-0.26403180927605913</v>
      </c>
      <c r="AN37" s="46">
        <f t="shared" si="31"/>
        <v>-0.26402237762237762</v>
      </c>
      <c r="AO37" s="46">
        <f t="shared" si="31"/>
        <v>-0.26397801471776872</v>
      </c>
      <c r="AP37" s="46">
        <f t="shared" si="31"/>
        <v>-0.26396160422577752</v>
      </c>
      <c r="AQ37" s="46">
        <f t="shared" si="31"/>
        <v>-0.26275492568268266</v>
      </c>
      <c r="AR37" s="46">
        <f t="shared" ref="AR37:AW37" si="32">IFERROR(AR36/SUM(AR31,AR33,AR34,AR35),"n.a.")</f>
        <v>-0.26366968822051934</v>
      </c>
      <c r="AS37" s="46">
        <f t="shared" si="32"/>
        <v>-0.26670316171758179</v>
      </c>
      <c r="AT37" s="46">
        <f t="shared" si="32"/>
        <v>-0.26679828969356012</v>
      </c>
      <c r="AU37" s="46">
        <f t="shared" si="32"/>
        <v>-0.26706798889130012</v>
      </c>
      <c r="AV37" s="46">
        <f t="shared" si="32"/>
        <v>-0.26684507810821956</v>
      </c>
      <c r="AW37" s="46">
        <f t="shared" si="32"/>
        <v>-0.26697386376848842</v>
      </c>
      <c r="AX37" s="46">
        <f t="shared" ref="AX37:BD37" si="33">IFERROR(AX36/SUM(AX31,AX33,AX34,AX35),"n.a.")</f>
        <v>-0.2728221574897286</v>
      </c>
      <c r="AY37" s="46">
        <f t="shared" si="33"/>
        <v>-0.26817655255779593</v>
      </c>
      <c r="AZ37" s="46">
        <f t="shared" si="33"/>
        <v>-0.28500354482020923</v>
      </c>
      <c r="BA37" s="46">
        <f t="shared" si="33"/>
        <v>-0.28436236574794765</v>
      </c>
      <c r="BB37" s="46">
        <f t="shared" si="33"/>
        <v>-0.28496081089044728</v>
      </c>
      <c r="BC37" s="46">
        <f t="shared" si="33"/>
        <v>-0.10269475744675496</v>
      </c>
      <c r="BD37" s="46">
        <f t="shared" si="33"/>
        <v>-0.22006342267422632</v>
      </c>
      <c r="BE37" s="22"/>
      <c r="BF37" s="22"/>
      <c r="BG37" s="22"/>
    </row>
    <row r="38" spans="1:59" s="22" customFormat="1" x14ac:dyDescent="0.2">
      <c r="A38" s="38" t="s">
        <v>146</v>
      </c>
      <c r="B38" s="47"/>
      <c r="C38" s="47">
        <f t="shared" ref="C38:V38" si="34">IFERROR(C31+C33+C35+C36,"n.a.")</f>
        <v>-30.399999999999995</v>
      </c>
      <c r="D38" s="47">
        <f t="shared" si="34"/>
        <v>24.000000000000004</v>
      </c>
      <c r="E38" s="47">
        <f t="shared" si="34"/>
        <v>-6.4000000000000199</v>
      </c>
      <c r="F38" s="47">
        <f t="shared" si="34"/>
        <v>42.199999999999918</v>
      </c>
      <c r="G38" s="47">
        <f t="shared" si="34"/>
        <v>35.799999999999926</v>
      </c>
      <c r="H38" s="47">
        <f t="shared" si="34"/>
        <v>128.2170000000001</v>
      </c>
      <c r="I38" s="47">
        <f t="shared" si="34"/>
        <v>163.98699999999999</v>
      </c>
      <c r="J38" s="47">
        <f t="shared" si="34"/>
        <v>49.500000000000021</v>
      </c>
      <c r="K38" s="47">
        <f t="shared" si="34"/>
        <v>18.099999999999927</v>
      </c>
      <c r="L38" s="47">
        <f t="shared" si="34"/>
        <v>67.599999999999952</v>
      </c>
      <c r="M38" s="47">
        <f t="shared" si="34"/>
        <v>131.30000000000007</v>
      </c>
      <c r="N38" s="47">
        <f>IFERROR(N31+N33+N35+N36-0.1,"n.a.")</f>
        <v>198.79999999999998</v>
      </c>
      <c r="O38" s="47">
        <f t="shared" si="34"/>
        <v>64.387000000000029</v>
      </c>
      <c r="P38" s="47">
        <f t="shared" si="34"/>
        <v>263.28699999999986</v>
      </c>
      <c r="Q38" s="47">
        <f t="shared" si="34"/>
        <v>92.40000000000002</v>
      </c>
      <c r="R38" s="47">
        <f t="shared" si="34"/>
        <v>89.500000000000043</v>
      </c>
      <c r="S38" s="47">
        <f t="shared" si="34"/>
        <v>181.89999999999998</v>
      </c>
      <c r="T38" s="47">
        <f t="shared" si="34"/>
        <v>196.2</v>
      </c>
      <c r="U38" s="47">
        <f t="shared" si="34"/>
        <v>378.1</v>
      </c>
      <c r="V38" s="47">
        <f t="shared" si="34"/>
        <v>70.699999999999974</v>
      </c>
      <c r="W38" s="47">
        <f>IFERROR(W31+W33+W35+W36,"n.a.")</f>
        <v>448.79999999999984</v>
      </c>
      <c r="X38" s="47">
        <f t="shared" ref="X38:AC38" si="35">IFERROR(X31+X33+X35+X36,"n.a.")</f>
        <v>101.41799999999998</v>
      </c>
      <c r="Y38" s="47">
        <f t="shared" si="35"/>
        <v>205.58199999999999</v>
      </c>
      <c r="Z38" s="47">
        <f t="shared" si="35"/>
        <v>307</v>
      </c>
      <c r="AA38" s="47">
        <f t="shared" si="35"/>
        <v>78.699999999999946</v>
      </c>
      <c r="AB38" s="47">
        <f t="shared" si="35"/>
        <v>385.69999999999993</v>
      </c>
      <c r="AC38" s="47">
        <f t="shared" si="35"/>
        <v>71.95900000000006</v>
      </c>
      <c r="AD38" s="47">
        <f>IFERROR(AD31+AD33+AD35+AD36,"n.a.")</f>
        <v>457.65899999999999</v>
      </c>
      <c r="AE38" s="47">
        <f t="shared" ref="AE38:AJ38" si="36">IFERROR(AE31+AE33+AE35+AE36,"n.a.")</f>
        <v>38.462999999999987</v>
      </c>
      <c r="AF38" s="47">
        <f t="shared" si="36"/>
        <v>-140.15300000000002</v>
      </c>
      <c r="AG38" s="118">
        <f>IFERROR(AG31+AG33+AG35+AG36-0.019,"n.a.")</f>
        <v>-101.709</v>
      </c>
      <c r="AH38" s="47">
        <f t="shared" si="36"/>
        <v>83.88</v>
      </c>
      <c r="AI38" s="47">
        <f>IFERROR(AI31+AI33+AI35+AI36+0.1,"n.a.")</f>
        <v>-17.760000000000016</v>
      </c>
      <c r="AJ38" s="47">
        <f t="shared" si="36"/>
        <v>60.605000000000018</v>
      </c>
      <c r="AK38" s="47">
        <f>IFERROR(AK31+AK33+AK35+AK36,"n.a.")</f>
        <v>42.745000000000047</v>
      </c>
      <c r="AL38" s="47">
        <f>IFERROR(AL31+AL33+AL35+AL36,"n.a.")</f>
        <v>42.155000000000008</v>
      </c>
      <c r="AM38" s="47">
        <f>IFERROR(AM31+AM33+AM35+AM36,"n.a.")</f>
        <v>89.400999999999982</v>
      </c>
      <c r="AN38" s="47">
        <f>IFERROR(AN31+AN33+AN35+AN36,"n.a.")</f>
        <v>131.55599999999998</v>
      </c>
      <c r="AO38" s="47">
        <f>IFERROR(AO31+AO33+AO35+AO36-0.1,"n.a.")</f>
        <v>104.61900000000006</v>
      </c>
      <c r="AP38" s="47">
        <f>IFERROR(AP31+AP33+AP35+AP36-0.1,"n.a.")</f>
        <v>236.22500000000011</v>
      </c>
      <c r="AQ38" s="47">
        <f>IFERROR(AQ31+AQ33+AQ35+AQ36+0.1,"n.a.")</f>
        <v>85.413999999999874</v>
      </c>
      <c r="AR38" s="47">
        <f>IFERROR(AR31+AR33+AR35+AR36,"n.a.")</f>
        <v>321.59299999999979</v>
      </c>
      <c r="AS38" s="47">
        <f>IFERROR(AS31+AS33+AS35+AS36,"n.a.")</f>
        <v>109.84199999999997</v>
      </c>
      <c r="AT38" s="118">
        <f>IFERROR(AT31+AT33+AT35+AT36,"n.a.")</f>
        <v>123.29300000000003</v>
      </c>
      <c r="AU38" s="118">
        <f>IFERROR(AU31+AU33+AU35+AU36,"n.a.")</f>
        <v>233.03500000000008</v>
      </c>
      <c r="AV38" s="47">
        <f>IFERROR(AV31+AV33+AV35+AV36-0.1,"n.a.")</f>
        <v>126.19399999999997</v>
      </c>
      <c r="AW38" s="47">
        <f>IFERROR(AW31+AW33+AW35+AW36-0.1,"n.a.")</f>
        <v>359.25800000000004</v>
      </c>
      <c r="AX38" s="47">
        <f>IFERROR(AX31+AX33+AX35+AX36+0.1,"n.a.")</f>
        <v>76.738000000000056</v>
      </c>
      <c r="AY38" s="47">
        <f>IFERROR(AY31+AY33+AY35+AY36,"n.a.")</f>
        <v>435.89600000000007</v>
      </c>
      <c r="AZ38" s="47">
        <f>IFERROR(AZ31+AZ33+AZ35+AZ36,"n.a.")</f>
        <v>114.97</v>
      </c>
      <c r="BA38" s="118">
        <f>IFERROR(BA31+BA33+BA35+BA36,"n.a.")</f>
        <v>127.80000000000001</v>
      </c>
      <c r="BB38" s="118">
        <f>IFERROR(BB31+BB33+BB35+BB36-0.1,"n.a.")</f>
        <v>242.57000000000002</v>
      </c>
      <c r="BC38" s="47">
        <f>IFERROR(BC31+BC33+BC35+BC36+0.1,"n.a.")</f>
        <v>168.44725100000394</v>
      </c>
      <c r="BD38" s="47">
        <f>IFERROR(BD31+BD33+BD35+BD36,"n.a.")</f>
        <v>411.0392510000039</v>
      </c>
    </row>
    <row r="39" spans="1:59" hidden="1" outlineLevel="1" x14ac:dyDescent="0.2">
      <c r="A39" s="60" t="s">
        <v>33</v>
      </c>
      <c r="B39" s="48"/>
      <c r="C39" s="48">
        <v>-19.7</v>
      </c>
      <c r="D39" s="82" t="s">
        <v>228</v>
      </c>
      <c r="E39" s="48" t="s">
        <v>228</v>
      </c>
      <c r="F39" s="82" t="s">
        <v>228</v>
      </c>
      <c r="G39" s="48">
        <v>-13.1</v>
      </c>
      <c r="H39" s="82">
        <f>I39-G39</f>
        <v>-3.2619999999999987</v>
      </c>
      <c r="I39" s="75">
        <f>'Fin. Highlights - FY'!F39</f>
        <v>-16.361999999999998</v>
      </c>
      <c r="J39" s="48">
        <v>-76.599999999999994</v>
      </c>
      <c r="K39" s="78" t="s">
        <v>228</v>
      </c>
      <c r="L39" s="48" t="s">
        <v>228</v>
      </c>
      <c r="M39" s="82" t="s">
        <v>228</v>
      </c>
      <c r="N39" s="48">
        <v>-75</v>
      </c>
      <c r="O39" s="82">
        <f>P39-N39</f>
        <v>-12.561999999999998</v>
      </c>
      <c r="P39" s="75">
        <f>'Fin. Highlights - FY'!G39</f>
        <v>-87.561999999999998</v>
      </c>
      <c r="Q39" s="48">
        <v>-3.339</v>
      </c>
      <c r="R39" s="82">
        <f>IFERROR(S39-Q39,"n.a.")</f>
        <v>-1.4029999999999991</v>
      </c>
      <c r="S39" s="48">
        <v>-4.7419999999999991</v>
      </c>
      <c r="T39" s="82">
        <f>IFERROR(U39-S39,"n.a.")</f>
        <v>-1.9580000000000011</v>
      </c>
      <c r="U39" s="66">
        <v>-6.7</v>
      </c>
      <c r="V39" s="82">
        <f>IFERROR(W39-U39,"n.a.")</f>
        <v>0.29100000000000037</v>
      </c>
      <c r="W39" s="75">
        <f>'Fin. Highlights - FY'!H39</f>
        <v>-6.4089999999999998</v>
      </c>
      <c r="X39" s="48">
        <v>0</v>
      </c>
      <c r="Y39" s="82">
        <f>IFERROR(Z39-X39,"n.a.")</f>
        <v>0</v>
      </c>
      <c r="Z39" s="48">
        <v>0</v>
      </c>
      <c r="AA39" s="82">
        <f>IFERROR(AB39-Z39,"n.a.")</f>
        <v>0</v>
      </c>
      <c r="AB39" s="66">
        <v>0</v>
      </c>
      <c r="AC39" s="82">
        <f>IFERROR(AD39-AB39,"n.a.")</f>
        <v>0</v>
      </c>
      <c r="AD39" s="75">
        <f>'Fin. Highlights - FY'!I39</f>
        <v>0</v>
      </c>
      <c r="AE39" s="48">
        <v>0</v>
      </c>
      <c r="AF39" s="82">
        <f>IFERROR(AG39-AE39,"n.a.")</f>
        <v>0</v>
      </c>
      <c r="AG39" s="48">
        <v>0</v>
      </c>
      <c r="AH39" s="82">
        <f>IFERROR(AI39-AG39,"n.a.")</f>
        <v>0</v>
      </c>
      <c r="AI39" s="66">
        <v>0</v>
      </c>
      <c r="AJ39" s="82">
        <f>IFERROR(AK39-AI39,"n.a.")</f>
        <v>0</v>
      </c>
      <c r="AK39" s="75">
        <f>'Fin. Highlights - FY'!J39</f>
        <v>0</v>
      </c>
      <c r="AL39" s="48">
        <v>0</v>
      </c>
      <c r="AM39" s="82">
        <f>IFERROR(AN39-AL39,"n.a.")</f>
        <v>0</v>
      </c>
      <c r="AN39" s="48">
        <v>0</v>
      </c>
      <c r="AO39" s="82">
        <f>IFERROR(AP39-AN39,"n.a.")</f>
        <v>0</v>
      </c>
      <c r="AP39" s="66">
        <v>0</v>
      </c>
      <c r="AQ39" s="82">
        <f>IFERROR(AR39-AP39,"n.a.")</f>
        <v>0</v>
      </c>
      <c r="AR39" s="75">
        <f>'Fin. Highlights - FY'!K39</f>
        <v>0</v>
      </c>
      <c r="AS39" s="48">
        <v>0</v>
      </c>
      <c r="AT39" s="82">
        <f>IFERROR(AU39-AS39,"n.a.")</f>
        <v>0</v>
      </c>
      <c r="AU39" s="48">
        <v>0</v>
      </c>
      <c r="AV39" s="82">
        <f>IFERROR(AW39-AU39,"n.a.")</f>
        <v>0</v>
      </c>
      <c r="AW39" s="66">
        <v>0</v>
      </c>
      <c r="AX39" s="82">
        <f>IFERROR(AY39-AW39,"n.a.")</f>
        <v>0</v>
      </c>
      <c r="AY39" s="75">
        <f>'Fin. Highlights - FY'!L39</f>
        <v>0</v>
      </c>
      <c r="AZ39" s="48">
        <v>0</v>
      </c>
      <c r="BA39" s="82">
        <f>IFERROR(BB39-AZ39,"n.a.")</f>
        <v>0</v>
      </c>
      <c r="BB39" s="48">
        <v>0</v>
      </c>
      <c r="BC39" s="82">
        <f>IFERROR(BD39-BB39,"n.a.")</f>
        <v>0</v>
      </c>
      <c r="BD39" s="66">
        <v>0</v>
      </c>
    </row>
    <row r="40" spans="1:59" s="22" customFormat="1" collapsed="1" x14ac:dyDescent="0.2">
      <c r="A40" s="38" t="s">
        <v>324</v>
      </c>
      <c r="B40" s="47"/>
      <c r="C40" s="47">
        <f t="shared" ref="C40:AB40" si="37">IFERROR(C38+C39,"n.a.")</f>
        <v>-50.099999999999994</v>
      </c>
      <c r="D40" s="47" t="str">
        <f t="shared" si="37"/>
        <v>n.a.</v>
      </c>
      <c r="E40" s="47" t="str">
        <f t="shared" si="37"/>
        <v>n.a.</v>
      </c>
      <c r="F40" s="47" t="str">
        <f t="shared" si="37"/>
        <v>n.a.</v>
      </c>
      <c r="G40" s="47">
        <f t="shared" si="37"/>
        <v>22.699999999999925</v>
      </c>
      <c r="H40" s="47">
        <f t="shared" si="37"/>
        <v>124.9550000000001</v>
      </c>
      <c r="I40" s="47">
        <f t="shared" si="37"/>
        <v>147.625</v>
      </c>
      <c r="J40" s="47">
        <f t="shared" si="37"/>
        <v>-27.099999999999973</v>
      </c>
      <c r="K40" s="118" t="str">
        <f t="shared" si="37"/>
        <v>n.a.</v>
      </c>
      <c r="L40" s="47" t="str">
        <f t="shared" si="37"/>
        <v>n.a.</v>
      </c>
      <c r="M40" s="47" t="str">
        <f t="shared" si="37"/>
        <v>n.a.</v>
      </c>
      <c r="N40" s="47">
        <f t="shared" si="37"/>
        <v>123.79999999999998</v>
      </c>
      <c r="O40" s="47">
        <f t="shared" si="37"/>
        <v>51.825000000000031</v>
      </c>
      <c r="P40" s="47">
        <f t="shared" si="37"/>
        <v>175.72499999999985</v>
      </c>
      <c r="Q40" s="47">
        <f t="shared" si="37"/>
        <v>89.061000000000021</v>
      </c>
      <c r="R40" s="47">
        <f t="shared" si="37"/>
        <v>88.097000000000037</v>
      </c>
      <c r="S40" s="47">
        <f t="shared" si="37"/>
        <v>177.15799999999999</v>
      </c>
      <c r="T40" s="47">
        <f t="shared" si="37"/>
        <v>194.24199999999999</v>
      </c>
      <c r="U40" s="47">
        <f t="shared" si="37"/>
        <v>371.40000000000003</v>
      </c>
      <c r="V40" s="47">
        <f t="shared" si="37"/>
        <v>70.990999999999971</v>
      </c>
      <c r="W40" s="47">
        <f t="shared" si="37"/>
        <v>442.39099999999985</v>
      </c>
      <c r="X40" s="47">
        <f t="shared" si="37"/>
        <v>101.41799999999998</v>
      </c>
      <c r="Y40" s="47">
        <f t="shared" si="37"/>
        <v>205.58199999999999</v>
      </c>
      <c r="Z40" s="47">
        <f t="shared" si="37"/>
        <v>307</v>
      </c>
      <c r="AA40" s="47">
        <f t="shared" si="37"/>
        <v>78.699999999999946</v>
      </c>
      <c r="AB40" s="47">
        <f t="shared" si="37"/>
        <v>385.69999999999993</v>
      </c>
      <c r="AC40" s="47">
        <f t="shared" ref="AC40:AJ40" si="38">IFERROR(AC38+AC39,"n.a.")</f>
        <v>71.95900000000006</v>
      </c>
      <c r="AD40" s="47">
        <f t="shared" si="38"/>
        <v>457.65899999999999</v>
      </c>
      <c r="AE40" s="47">
        <f t="shared" si="38"/>
        <v>38.462999999999987</v>
      </c>
      <c r="AF40" s="47">
        <f t="shared" si="38"/>
        <v>-140.15300000000002</v>
      </c>
      <c r="AG40" s="47">
        <f t="shared" si="38"/>
        <v>-101.709</v>
      </c>
      <c r="AH40" s="47">
        <f t="shared" si="38"/>
        <v>83.88</v>
      </c>
      <c r="AI40" s="47">
        <f t="shared" si="38"/>
        <v>-17.760000000000016</v>
      </c>
      <c r="AJ40" s="47">
        <f t="shared" si="38"/>
        <v>60.605000000000018</v>
      </c>
      <c r="AK40" s="47">
        <f t="shared" ref="AK40:BD40" si="39">IFERROR(AK38+AK39,"n.a.")</f>
        <v>42.745000000000047</v>
      </c>
      <c r="AL40" s="47">
        <f t="shared" si="39"/>
        <v>42.155000000000008</v>
      </c>
      <c r="AM40" s="47">
        <f t="shared" si="39"/>
        <v>89.400999999999982</v>
      </c>
      <c r="AN40" s="47">
        <f t="shared" si="39"/>
        <v>131.55599999999998</v>
      </c>
      <c r="AO40" s="47">
        <f t="shared" si="39"/>
        <v>104.61900000000006</v>
      </c>
      <c r="AP40" s="47">
        <f t="shared" si="39"/>
        <v>236.22500000000011</v>
      </c>
      <c r="AQ40" s="47">
        <f t="shared" si="39"/>
        <v>85.413999999999874</v>
      </c>
      <c r="AR40" s="47">
        <f t="shared" si="39"/>
        <v>321.59299999999979</v>
      </c>
      <c r="AS40" s="47">
        <f t="shared" si="39"/>
        <v>109.84199999999997</v>
      </c>
      <c r="AT40" s="47">
        <f t="shared" si="39"/>
        <v>123.29300000000003</v>
      </c>
      <c r="AU40" s="47">
        <f t="shared" si="39"/>
        <v>233.03500000000008</v>
      </c>
      <c r="AV40" s="47">
        <f t="shared" si="39"/>
        <v>126.19399999999997</v>
      </c>
      <c r="AW40" s="47">
        <f t="shared" si="39"/>
        <v>359.25800000000004</v>
      </c>
      <c r="AX40" s="47">
        <f t="shared" si="39"/>
        <v>76.738000000000056</v>
      </c>
      <c r="AY40" s="47">
        <f t="shared" si="39"/>
        <v>435.89600000000007</v>
      </c>
      <c r="AZ40" s="47">
        <f t="shared" si="39"/>
        <v>114.97</v>
      </c>
      <c r="BA40" s="47">
        <f t="shared" si="39"/>
        <v>127.80000000000001</v>
      </c>
      <c r="BB40" s="47">
        <f t="shared" si="39"/>
        <v>242.57000000000002</v>
      </c>
      <c r="BC40" s="47">
        <f t="shared" si="39"/>
        <v>168.44725100000394</v>
      </c>
      <c r="BD40" s="47">
        <f t="shared" si="39"/>
        <v>411.0392510000039</v>
      </c>
    </row>
    <row r="41" spans="1:59" x14ac:dyDescent="0.2">
      <c r="A41" s="60" t="s">
        <v>31</v>
      </c>
      <c r="B41" s="69"/>
      <c r="C41" s="69">
        <v>0.6</v>
      </c>
      <c r="D41" s="82" t="s">
        <v>228</v>
      </c>
      <c r="E41" s="69">
        <v>4.5999999999999996</v>
      </c>
      <c r="F41" s="82" t="s">
        <v>228</v>
      </c>
      <c r="G41" s="69">
        <v>6</v>
      </c>
      <c r="H41" s="82">
        <f>I41-G41</f>
        <v>6.5619999999999994</v>
      </c>
      <c r="I41" s="75">
        <f>'Fin. Highlights - FY'!F41</f>
        <v>12.561999999999999</v>
      </c>
      <c r="J41" s="69">
        <v>0.8</v>
      </c>
      <c r="K41" s="78" t="s">
        <v>228</v>
      </c>
      <c r="L41" s="168">
        <v>0.6</v>
      </c>
      <c r="M41" s="82" t="s">
        <v>228</v>
      </c>
      <c r="N41" s="69">
        <v>0.3</v>
      </c>
      <c r="O41" s="82">
        <f>P41-N41</f>
        <v>-0.9850000000000001</v>
      </c>
      <c r="P41" s="75">
        <f>'Fin. Highlights - FY'!G41</f>
        <v>-0.68500000000000005</v>
      </c>
      <c r="Q41" s="168">
        <v>-1.3</v>
      </c>
      <c r="R41" s="82">
        <f>IFERROR(S41-Q41,"n.a.")</f>
        <v>6.5</v>
      </c>
      <c r="S41" s="168">
        <v>5.2</v>
      </c>
      <c r="T41" s="82">
        <f>IFERROR(U41-S41,"n.a.")</f>
        <v>3.7</v>
      </c>
      <c r="U41" s="168">
        <v>8.9</v>
      </c>
      <c r="V41" s="82">
        <f>IFERROR(W41-U41,"n.a.")</f>
        <v>1.9000000000000004</v>
      </c>
      <c r="W41" s="75">
        <f>'Fin. Highlights - FY'!H41</f>
        <v>10.8</v>
      </c>
      <c r="X41" s="168">
        <v>3.8</v>
      </c>
      <c r="Y41" s="82">
        <f>IFERROR(Z41-X41,"n.a.")</f>
        <v>5.3</v>
      </c>
      <c r="Z41" s="168">
        <v>9.1</v>
      </c>
      <c r="AA41" s="82">
        <f>IFERROR(AB41-Z41,"n.a.")</f>
        <v>3.9000000000000004</v>
      </c>
      <c r="AB41" s="168">
        <v>13</v>
      </c>
      <c r="AC41" s="82">
        <f>IFERROR(AD41-AB41,"n.a.")</f>
        <v>6.6000000000000014</v>
      </c>
      <c r="AD41" s="75">
        <f>'Fin. Highlights - FY'!I41</f>
        <v>19.600000000000001</v>
      </c>
      <c r="AE41" s="168">
        <v>1.3</v>
      </c>
      <c r="AF41" s="82">
        <f>IFERROR(AG41-AE41,"n.a.")</f>
        <v>0.30000000000000004</v>
      </c>
      <c r="AG41" s="168">
        <v>1.6</v>
      </c>
      <c r="AH41" s="82">
        <f>IFERROR(AI41-AG41,"n.a.")</f>
        <v>4.1240000000000006</v>
      </c>
      <c r="AI41" s="168">
        <v>5.7240000000000002</v>
      </c>
      <c r="AJ41" s="82">
        <f>IFERROR(AK41-AI41,"n.a.")</f>
        <v>7.1760000000000002</v>
      </c>
      <c r="AK41" s="75">
        <f>'Fin. Highlights - FY'!J41</f>
        <v>12.9</v>
      </c>
      <c r="AL41" s="168">
        <v>3.2</v>
      </c>
      <c r="AM41" s="82">
        <f>IFERROR(AN41-AL41,"n.a.")</f>
        <v>5.2429999999999994</v>
      </c>
      <c r="AN41" s="168">
        <v>8.4429999999999996</v>
      </c>
      <c r="AO41" s="82">
        <f>IFERROR(AP41-AN41,"n.a.")</f>
        <v>-2.7189999999999994</v>
      </c>
      <c r="AP41" s="168">
        <v>5.7240000000000002</v>
      </c>
      <c r="AQ41" s="82">
        <f>IFERROR(AR41-AP41,"n.a.")</f>
        <v>13.076000000000001</v>
      </c>
      <c r="AR41" s="75">
        <f>'Fin. Highlights - FY'!K41</f>
        <v>18.8</v>
      </c>
      <c r="AS41" s="168">
        <v>2.2999999999999998</v>
      </c>
      <c r="AT41" s="82">
        <f>IFERROR(AU41-AS41,"n.a.")</f>
        <v>9.3000000000000007</v>
      </c>
      <c r="AU41" s="168">
        <v>11.6</v>
      </c>
      <c r="AV41" s="82">
        <f>AW41-AU41</f>
        <v>9.2999999999999989</v>
      </c>
      <c r="AW41" s="168">
        <v>20.9</v>
      </c>
      <c r="AX41" s="82">
        <f>IFERROR(AY41-AW41,"n.a.")</f>
        <v>-2.759999999999998</v>
      </c>
      <c r="AY41" s="75">
        <f>'Fin. Highlights - FY'!L41</f>
        <v>18.14</v>
      </c>
      <c r="AZ41" s="168">
        <v>3.4</v>
      </c>
      <c r="BA41" s="82">
        <f>IFERROR(BB41-AZ41,"n.a.")</f>
        <v>7.1399999999999988</v>
      </c>
      <c r="BB41" s="168">
        <v>10.54</v>
      </c>
      <c r="BC41" s="82">
        <f>BD41-BB41</f>
        <v>7.4550370000000008</v>
      </c>
      <c r="BD41" s="168">
        <v>17.995037</v>
      </c>
    </row>
    <row r="42" spans="1:59" x14ac:dyDescent="0.2">
      <c r="B42" s="64"/>
      <c r="C42" s="64"/>
      <c r="D42" s="64"/>
      <c r="E42" s="64"/>
      <c r="F42" s="64"/>
      <c r="G42" s="64"/>
      <c r="H42" s="64"/>
      <c r="I42" s="64"/>
      <c r="J42" s="64"/>
      <c r="K42" s="17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row>
    <row r="43" spans="1:59" hidden="1" outlineLevel="1" x14ac:dyDescent="0.2">
      <c r="A43" s="35" t="s">
        <v>232</v>
      </c>
      <c r="B43" s="41"/>
      <c r="C43" s="77">
        <f t="shared" ref="C43:J43" si="40">IFERROR(-(C26+C27),"n.a.")</f>
        <v>37.5</v>
      </c>
      <c r="D43" s="77">
        <f t="shared" si="40"/>
        <v>34.199999999999996</v>
      </c>
      <c r="E43" s="77">
        <f t="shared" si="40"/>
        <v>71.699999999999989</v>
      </c>
      <c r="F43" s="77">
        <f t="shared" si="40"/>
        <v>35.300000000000011</v>
      </c>
      <c r="G43" s="77">
        <f t="shared" si="40"/>
        <v>107</v>
      </c>
      <c r="H43" s="77">
        <f t="shared" si="40"/>
        <v>50.820999999999984</v>
      </c>
      <c r="I43" s="77">
        <f t="shared" si="40"/>
        <v>157.87099999999998</v>
      </c>
      <c r="J43" s="77">
        <f t="shared" si="40"/>
        <v>36.299999999999997</v>
      </c>
      <c r="K43" s="77" t="s">
        <v>174</v>
      </c>
      <c r="L43" s="77">
        <f>IFERROR(-(L26+L27),"n.a.")</f>
        <v>98</v>
      </c>
      <c r="M43" s="77" t="s">
        <v>174</v>
      </c>
      <c r="N43" s="77">
        <f t="shared" ref="N43:AJ43" si="41">IFERROR(-(N26+N27),"n.a.")</f>
        <v>101.10000000000001</v>
      </c>
      <c r="O43" s="77">
        <f t="shared" si="41"/>
        <v>101.69999999999999</v>
      </c>
      <c r="P43" s="77">
        <f t="shared" si="41"/>
        <v>202.8</v>
      </c>
      <c r="Q43" s="77">
        <f t="shared" si="41"/>
        <v>34.4</v>
      </c>
      <c r="R43" s="77">
        <f t="shared" si="41"/>
        <v>38</v>
      </c>
      <c r="S43" s="77">
        <f t="shared" si="41"/>
        <v>72.399999999999991</v>
      </c>
      <c r="T43" s="77">
        <f t="shared" si="41"/>
        <v>36.300000000000004</v>
      </c>
      <c r="U43" s="77">
        <f t="shared" si="41"/>
        <v>108.7</v>
      </c>
      <c r="V43" s="77">
        <f t="shared" si="41"/>
        <v>143.19999999999999</v>
      </c>
      <c r="W43" s="77">
        <f t="shared" si="41"/>
        <v>251.9</v>
      </c>
      <c r="X43" s="77">
        <f t="shared" si="41"/>
        <v>36.097999999999999</v>
      </c>
      <c r="Y43" s="77">
        <f t="shared" si="41"/>
        <v>-20.597999999999999</v>
      </c>
      <c r="Z43" s="77">
        <f t="shared" si="41"/>
        <v>15.5</v>
      </c>
      <c r="AA43" s="77">
        <f t="shared" si="41"/>
        <v>71.599999999999994</v>
      </c>
      <c r="AB43" s="77">
        <f t="shared" si="41"/>
        <v>87.1</v>
      </c>
      <c r="AC43" s="77">
        <f t="shared" si="41"/>
        <v>87.49499999999999</v>
      </c>
      <c r="AD43" s="77">
        <f t="shared" si="41"/>
        <v>174.595</v>
      </c>
      <c r="AE43" s="77">
        <f t="shared" si="41"/>
        <v>52.698999999999998</v>
      </c>
      <c r="AF43" s="77">
        <f t="shared" si="41"/>
        <v>70.751000000000005</v>
      </c>
      <c r="AG43" s="77">
        <f t="shared" si="41"/>
        <v>123.45</v>
      </c>
      <c r="AH43" s="77">
        <f t="shared" si="41"/>
        <v>61.349999999999994</v>
      </c>
      <c r="AI43" s="77">
        <f t="shared" si="41"/>
        <v>184.8</v>
      </c>
      <c r="AJ43" s="77">
        <f t="shared" si="41"/>
        <v>97.242000000000004</v>
      </c>
      <c r="AK43" s="77">
        <f>IFERROR(-(AK26+AK27)+0.05,"n.a.")</f>
        <v>282.09200000000004</v>
      </c>
      <c r="AL43" s="77">
        <f>IFERROR(-(AL26+AL27),"n.a.")</f>
        <v>71.38300000000001</v>
      </c>
      <c r="AM43" s="77">
        <f>IFERROR(-(AM26+AM27),"n.a.")</f>
        <v>57.379999999999995</v>
      </c>
      <c r="AN43" s="77">
        <f>IFERROR(-(AN26+AN27),"n.a.")</f>
        <v>128.76300000000001</v>
      </c>
      <c r="AO43" s="77">
        <f>IFERROR(-(AO26+AO27),"n.a.")</f>
        <v>43.717000000000006</v>
      </c>
      <c r="AP43" s="77">
        <f>IFERROR(-(AP26+AP27)-0.05,"n.a.")</f>
        <v>172.43</v>
      </c>
      <c r="AQ43" s="77">
        <f t="shared" ref="AQ43:AV43" si="42">IFERROR(-(AQ26+AQ27),"n.a.")</f>
        <v>66.200999999999993</v>
      </c>
      <c r="AR43" s="77">
        <f t="shared" si="42"/>
        <v>238.68099999999998</v>
      </c>
      <c r="AS43" s="77">
        <f t="shared" si="42"/>
        <v>35.878999999999998</v>
      </c>
      <c r="AT43" s="77">
        <f t="shared" si="42"/>
        <v>40.454999999999998</v>
      </c>
      <c r="AU43" s="77">
        <f t="shared" si="42"/>
        <v>76.334000000000003</v>
      </c>
      <c r="AV43" s="77">
        <f t="shared" si="42"/>
        <v>44.898000000000003</v>
      </c>
      <c r="AW43" s="77">
        <f>IFERROR(-(AW26+AW27)+0.1,"n.a.")</f>
        <v>121.33199999999999</v>
      </c>
      <c r="AX43" s="77">
        <f>IFERROR(-(AX26+AX27)-0.1,"n.a.")</f>
        <v>64.972999999999999</v>
      </c>
      <c r="AY43" s="77">
        <f t="shared" ref="AY43:BD43" si="43">IFERROR(-(AY26+AY27),"n.a.")</f>
        <v>186.30500000000001</v>
      </c>
      <c r="AZ43" s="77">
        <f t="shared" si="43"/>
        <v>37.405999999999999</v>
      </c>
      <c r="BA43" s="77">
        <f t="shared" si="43"/>
        <v>39.974000000000004</v>
      </c>
      <c r="BB43" s="77">
        <f t="shared" si="43"/>
        <v>77.38</v>
      </c>
      <c r="BC43" s="77">
        <f t="shared" si="43"/>
        <v>36.846320136198102</v>
      </c>
      <c r="BD43" s="77">
        <f t="shared" si="43"/>
        <v>114.2263201361981</v>
      </c>
    </row>
    <row r="44" spans="1:59" hidden="1" outlineLevel="1" x14ac:dyDescent="0.2">
      <c r="A44" s="35" t="s">
        <v>233</v>
      </c>
      <c r="B44" s="41"/>
      <c r="C44" s="41">
        <v>25.4</v>
      </c>
      <c r="D44" s="77">
        <f>E44-C44</f>
        <v>0</v>
      </c>
      <c r="E44" s="41">
        <v>25.4</v>
      </c>
      <c r="F44" s="77">
        <f>G44-E44</f>
        <v>0</v>
      </c>
      <c r="G44" s="41">
        <v>25.4</v>
      </c>
      <c r="H44" s="77">
        <f>I44-G44</f>
        <v>0</v>
      </c>
      <c r="I44" s="52">
        <f>'Fin. Highlights - FY'!F44</f>
        <v>25.4</v>
      </c>
      <c r="J44" s="41">
        <v>0</v>
      </c>
      <c r="K44" s="77" t="s">
        <v>174</v>
      </c>
      <c r="L44" s="41">
        <v>61.2</v>
      </c>
      <c r="M44" s="77" t="s">
        <v>174</v>
      </c>
      <c r="N44" s="41">
        <v>61.2</v>
      </c>
      <c r="O44" s="77">
        <f>P44-N44</f>
        <v>-5.0000000000004263E-2</v>
      </c>
      <c r="P44" s="52">
        <f>'Fin. Highlights - FY'!G44</f>
        <v>61.15</v>
      </c>
      <c r="Q44" s="41">
        <v>-6.0509999999999966</v>
      </c>
      <c r="R44" s="77">
        <f>IFERROR(S44-Q44,"n.a.")</f>
        <v>3.0459999999999989</v>
      </c>
      <c r="S44" s="41">
        <v>-3.0049999999999977</v>
      </c>
      <c r="T44" s="77">
        <f>IFERROR(U44-S44,"n.a.")</f>
        <v>3.3309999999999977</v>
      </c>
      <c r="U44" s="41">
        <v>0.32600000000000001</v>
      </c>
      <c r="V44" s="77">
        <f>IFERROR(W44-U44,"n.a.")</f>
        <v>1.8230000000000022</v>
      </c>
      <c r="W44" s="52">
        <f>'Fin. Highlights - FY'!H44</f>
        <v>2.1490000000000022</v>
      </c>
      <c r="X44" s="41">
        <v>0</v>
      </c>
      <c r="Y44" s="77">
        <f>IFERROR(Z44-X44,"n.a.")</f>
        <v>-99.825999999999993</v>
      </c>
      <c r="Z44" s="41">
        <v>-99.825999999999993</v>
      </c>
      <c r="AA44" s="77">
        <f>IFERROR(AB44-Z44,"n.a.")</f>
        <v>-0.75600000000000023</v>
      </c>
      <c r="AB44" s="41">
        <v>-100.58199999999999</v>
      </c>
      <c r="AC44" s="77">
        <f>IFERROR(AD44-AB44,"n.a.")</f>
        <v>-6.7180000000000035</v>
      </c>
      <c r="AD44" s="52">
        <f>'Fin. Highlights - FY'!I44</f>
        <v>-107.3</v>
      </c>
      <c r="AE44" s="41">
        <v>0</v>
      </c>
      <c r="AF44" s="77">
        <f>IFERROR(AG44-AE44,"n.a.")</f>
        <v>0</v>
      </c>
      <c r="AG44" s="41">
        <v>0</v>
      </c>
      <c r="AH44" s="77">
        <f>IFERROR(AI44-AG44,"n.a.")</f>
        <v>0</v>
      </c>
      <c r="AI44" s="86">
        <v>0</v>
      </c>
      <c r="AJ44" s="77">
        <f>IFERROR(AK44-AI44,"n.a.")</f>
        <v>0</v>
      </c>
      <c r="AK44" s="52">
        <f>'Fin. Highlights - FY'!J44</f>
        <v>0</v>
      </c>
      <c r="AL44" s="228">
        <v>0</v>
      </c>
      <c r="AM44" s="77">
        <f>IFERROR(AN44-AL44,"n.a.")</f>
        <v>0</v>
      </c>
      <c r="AN44" s="228">
        <v>0</v>
      </c>
      <c r="AO44" s="77">
        <f>IFERROR(AP44-AN44,"n.a.")</f>
        <v>0</v>
      </c>
      <c r="AP44" s="228">
        <v>0</v>
      </c>
      <c r="AQ44" s="77">
        <f>IFERROR(AR44-AP44,"n.a.")</f>
        <v>0</v>
      </c>
      <c r="AR44" s="52">
        <f>'Fin. Highlights - FY'!K44</f>
        <v>0</v>
      </c>
      <c r="AS44" s="228">
        <v>0</v>
      </c>
      <c r="AT44" s="77">
        <f>IFERROR(AU44-AS44,"n.a.")</f>
        <v>0</v>
      </c>
      <c r="AU44" s="228">
        <v>0</v>
      </c>
      <c r="AV44" s="77">
        <f>IFERROR(AW44-AU44,"n.a.")</f>
        <v>0</v>
      </c>
      <c r="AW44" s="228">
        <v>0</v>
      </c>
      <c r="AX44" s="77">
        <f>IFERROR(AY44-AW44,"n.a.")</f>
        <v>0</v>
      </c>
      <c r="AY44" s="52">
        <f>'Fin. Highlights - FY'!L44</f>
        <v>0</v>
      </c>
      <c r="AZ44" s="228">
        <v>0</v>
      </c>
      <c r="BA44" s="77">
        <f>IFERROR(BB44-AZ44,"n.a.")</f>
        <v>0</v>
      </c>
      <c r="BB44" s="228">
        <v>0</v>
      </c>
      <c r="BC44" s="77">
        <f>IFERROR(BD44-BB44,"n.a.")</f>
        <v>0</v>
      </c>
      <c r="BD44" s="228">
        <v>0</v>
      </c>
    </row>
    <row r="45" spans="1:59" hidden="1" outlineLevel="1" x14ac:dyDescent="0.2">
      <c r="A45" s="35" t="s">
        <v>34</v>
      </c>
      <c r="B45" s="41"/>
      <c r="C45" s="41">
        <v>-15.672699999999999</v>
      </c>
      <c r="D45" s="77">
        <f>E45-C45</f>
        <v>-9.8171999999999997</v>
      </c>
      <c r="E45" s="41">
        <v>-25.489899999999999</v>
      </c>
      <c r="F45" s="77">
        <f>G45-E45</f>
        <v>-10.161500000000004</v>
      </c>
      <c r="G45" s="41">
        <v>-35.651400000000002</v>
      </c>
      <c r="H45" s="77">
        <f>I45-G45</f>
        <v>-15.0486</v>
      </c>
      <c r="I45" s="52">
        <f>'Fin. Highlights - FY'!F45</f>
        <v>-50.7</v>
      </c>
      <c r="J45" s="41">
        <v>-10.127699999999999</v>
      </c>
      <c r="K45" s="77" t="s">
        <v>174</v>
      </c>
      <c r="L45" s="41">
        <v>-67.78009999999999</v>
      </c>
      <c r="M45" s="77" t="s">
        <v>174</v>
      </c>
      <c r="N45" s="41">
        <v>-103.60919999999999</v>
      </c>
      <c r="O45" s="77">
        <f>P45-N45</f>
        <v>-36.790800000000019</v>
      </c>
      <c r="P45" s="52">
        <f>'Fin. Highlights - FY'!G45</f>
        <v>-140.4</v>
      </c>
      <c r="Q45" s="41">
        <v>-7.4170225944794392</v>
      </c>
      <c r="R45" s="77">
        <f>IFERROR(S45-Q45,"n.a.")</f>
        <v>-13.713317405520554</v>
      </c>
      <c r="S45" s="41">
        <v>-21.130339999999993</v>
      </c>
      <c r="T45" s="77">
        <f>IFERROR(U45-S45,"n.a.")</f>
        <v>-62.48266000000001</v>
      </c>
      <c r="U45" s="41">
        <v>-83.613</v>
      </c>
      <c r="V45" s="77">
        <f>IFERROR(W45-U45,"n.a.")</f>
        <v>-42.864999999999995</v>
      </c>
      <c r="W45" s="52">
        <f>'Fin. Highlights - FY'!H45</f>
        <v>-126.47799999999999</v>
      </c>
      <c r="X45" s="41">
        <v>-14.125999999999999</v>
      </c>
      <c r="Y45" s="77">
        <f>IFERROR(Z45-X45,"n.a.")</f>
        <v>47.646000000000001</v>
      </c>
      <c r="Z45" s="41">
        <v>33.520000000000003</v>
      </c>
      <c r="AA45" s="77">
        <f>IFERROR(AB45-Z45,"n.a.")</f>
        <v>-25.306000000000004</v>
      </c>
      <c r="AB45" s="41">
        <v>8.2140000000000004</v>
      </c>
      <c r="AC45" s="77">
        <f>IFERROR(AD45-AB45,"n.a.")</f>
        <v>-18.914000000000001</v>
      </c>
      <c r="AD45" s="52">
        <f>'Fin. Highlights - FY'!I45</f>
        <v>-10.7</v>
      </c>
      <c r="AE45" s="41">
        <v>-14.907</v>
      </c>
      <c r="AF45" s="77">
        <f>IFERROR(AG45-AE45,"n.a.")</f>
        <v>-20.287000000000003</v>
      </c>
      <c r="AG45" s="228">
        <v>-35.194000000000003</v>
      </c>
      <c r="AH45" s="77">
        <f>IFERROR(AI45-AG45,"n.a.")</f>
        <v>-16.592999999999996</v>
      </c>
      <c r="AI45" s="86">
        <v>-51.786999999999999</v>
      </c>
      <c r="AJ45" s="77">
        <f>IFERROR(AK45-AI45,"n.a.")</f>
        <v>-27.496000000000002</v>
      </c>
      <c r="AK45" s="52">
        <f>'Fin. Highlights - FY'!J45</f>
        <v>-79.283000000000001</v>
      </c>
      <c r="AL45" s="228">
        <v>-19.687999999999999</v>
      </c>
      <c r="AM45" s="77">
        <f>IFERROR(AN45-AL45,"n.a.")</f>
        <v>-16.361999999999998</v>
      </c>
      <c r="AN45" s="228">
        <v>-36.049999999999997</v>
      </c>
      <c r="AO45" s="77">
        <f>IFERROR(AP45-AN45,"n.a.")</f>
        <v>-12.515000000000001</v>
      </c>
      <c r="AP45" s="228">
        <v>-48.564999999999998</v>
      </c>
      <c r="AQ45" s="77">
        <f>IFERROR(AR45-AP45,"n.a.")</f>
        <v>-42.972999999999999</v>
      </c>
      <c r="AR45" s="52">
        <f>'Fin. Highlights - FY'!K45</f>
        <v>-91.537999999999997</v>
      </c>
      <c r="AS45" s="228">
        <v>-10.124000000000001</v>
      </c>
      <c r="AT45" s="81">
        <f>IFERROR(AU45-AS45,"n.a.")</f>
        <v>-11.375999999999999</v>
      </c>
      <c r="AU45" s="228">
        <v>-21.5</v>
      </c>
      <c r="AV45" s="77">
        <f>IFERROR(AW45-AU45,"n.a.")</f>
        <v>-13.299999999999997</v>
      </c>
      <c r="AW45" s="77">
        <v>-34.799999999999997</v>
      </c>
      <c r="AX45" s="77">
        <f>IFERROR(AY45-AW45,"n.a.")</f>
        <v>-17</v>
      </c>
      <c r="AY45" s="52">
        <f>'Fin. Highlights - FY'!L45</f>
        <v>-51.8</v>
      </c>
      <c r="AZ45" s="228">
        <v>-10.5</v>
      </c>
      <c r="BA45" s="81">
        <f>IFERROR(BB45-AZ45,"n.a.")</f>
        <v>-11.2</v>
      </c>
      <c r="BB45" s="228">
        <v>-21.7</v>
      </c>
      <c r="BC45" s="77">
        <f>IFERROR(BD45-BB45,"n.a.")</f>
        <v>-50.42</v>
      </c>
      <c r="BD45" s="77">
        <v>-72.12</v>
      </c>
    </row>
    <row r="46" spans="1:59" s="22" customFormat="1" collapsed="1" x14ac:dyDescent="0.2">
      <c r="A46" s="99" t="s">
        <v>298</v>
      </c>
      <c r="B46" s="101"/>
      <c r="C46" s="102">
        <f t="shared" ref="C46:T46" si="44">IFERROR(C38+C43+C44+C45,"n.a.")</f>
        <v>16.827300000000001</v>
      </c>
      <c r="D46" s="102">
        <f t="shared" si="44"/>
        <v>48.382800000000003</v>
      </c>
      <c r="E46" s="102">
        <f t="shared" si="44"/>
        <v>65.210099999999954</v>
      </c>
      <c r="F46" s="102">
        <f t="shared" si="44"/>
        <v>67.338499999999925</v>
      </c>
      <c r="G46" s="102">
        <f t="shared" si="44"/>
        <v>132.54859999999994</v>
      </c>
      <c r="H46" s="102">
        <f t="shared" si="44"/>
        <v>163.98940000000007</v>
      </c>
      <c r="I46" s="102">
        <f t="shared" si="44"/>
        <v>296.55799999999994</v>
      </c>
      <c r="J46" s="102">
        <f t="shared" si="44"/>
        <v>75.672300000000007</v>
      </c>
      <c r="K46" s="102" t="str">
        <f t="shared" si="44"/>
        <v>n.a.</v>
      </c>
      <c r="L46" s="102">
        <f t="shared" si="44"/>
        <v>159.01989999999995</v>
      </c>
      <c r="M46" s="102" t="str">
        <f t="shared" si="44"/>
        <v>n.a.</v>
      </c>
      <c r="N46" s="102">
        <f t="shared" si="44"/>
        <v>257.49079999999998</v>
      </c>
      <c r="O46" s="102">
        <f t="shared" si="44"/>
        <v>129.24619999999999</v>
      </c>
      <c r="P46" s="102">
        <f t="shared" si="44"/>
        <v>386.83699999999988</v>
      </c>
      <c r="Q46" s="102">
        <f t="shared" si="44"/>
        <v>113.33197740552058</v>
      </c>
      <c r="R46" s="102">
        <f t="shared" si="44"/>
        <v>116.83268259447949</v>
      </c>
      <c r="S46" s="102">
        <f t="shared" si="44"/>
        <v>230.16465999999997</v>
      </c>
      <c r="T46" s="102">
        <f t="shared" si="44"/>
        <v>173.34833999999998</v>
      </c>
      <c r="U46" s="102">
        <f t="shared" ref="U46:AG46" si="45">IFERROR(U38+U43+U44+U45,"n.a.")</f>
        <v>403.51300000000003</v>
      </c>
      <c r="V46" s="102">
        <f t="shared" si="45"/>
        <v>172.858</v>
      </c>
      <c r="W46" s="102">
        <f t="shared" si="45"/>
        <v>576.37099999999987</v>
      </c>
      <c r="X46" s="102">
        <f t="shared" si="45"/>
        <v>123.38999999999996</v>
      </c>
      <c r="Y46" s="102">
        <f t="shared" si="45"/>
        <v>132.80399999999997</v>
      </c>
      <c r="Z46" s="102">
        <f t="shared" si="45"/>
        <v>256.19400000000002</v>
      </c>
      <c r="AA46" s="102">
        <f t="shared" si="45"/>
        <v>124.23799999999994</v>
      </c>
      <c r="AB46" s="102">
        <f t="shared" si="45"/>
        <v>380.43199999999996</v>
      </c>
      <c r="AC46" s="102">
        <f t="shared" si="45"/>
        <v>133.82200000000006</v>
      </c>
      <c r="AD46" s="102">
        <f t="shared" si="45"/>
        <v>514.25400000000002</v>
      </c>
      <c r="AE46" s="102">
        <f t="shared" si="45"/>
        <v>76.254999999999981</v>
      </c>
      <c r="AF46" s="102">
        <f t="shared" si="45"/>
        <v>-89.689000000000021</v>
      </c>
      <c r="AG46" s="102">
        <f t="shared" si="45"/>
        <v>-13.453000000000003</v>
      </c>
      <c r="AH46" s="102">
        <f>IFERROR(AH38+AH43+AH44+AH45,"n.a.")</f>
        <v>128.637</v>
      </c>
      <c r="AI46" s="102">
        <f>IFERROR(AI38+AI43+AI44+AI45-0.03,"n.a.")</f>
        <v>115.22299999999998</v>
      </c>
      <c r="AJ46" s="102">
        <f>IFERROR(AJ38+AJ43+AJ44+AJ45,"n.a.")</f>
        <v>130.35100000000003</v>
      </c>
      <c r="AK46" s="102">
        <f>IFERROR(AK38+AK43+AK44+AK45-0.05,"n.a.")</f>
        <v>245.50400000000008</v>
      </c>
      <c r="AL46" s="102">
        <f t="shared" ref="AL46:AU46" si="46">IFERROR(AL38+AL43+AL44+AL45,"n.a.")</f>
        <v>93.850000000000009</v>
      </c>
      <c r="AM46" s="102">
        <f t="shared" si="46"/>
        <v>130.41899999999998</v>
      </c>
      <c r="AN46" s="102">
        <f t="shared" si="46"/>
        <v>224.26899999999995</v>
      </c>
      <c r="AO46" s="102">
        <f t="shared" si="46"/>
        <v>135.82100000000008</v>
      </c>
      <c r="AP46" s="102">
        <f t="shared" si="46"/>
        <v>360.09000000000009</v>
      </c>
      <c r="AQ46" s="102">
        <f t="shared" si="46"/>
        <v>108.64199999999987</v>
      </c>
      <c r="AR46" s="102">
        <f t="shared" si="46"/>
        <v>468.73599999999976</v>
      </c>
      <c r="AS46" s="102">
        <f t="shared" si="46"/>
        <v>135.59699999999998</v>
      </c>
      <c r="AT46" s="102">
        <f t="shared" si="46"/>
        <v>152.37200000000004</v>
      </c>
      <c r="AU46" s="102">
        <f t="shared" si="46"/>
        <v>287.86900000000009</v>
      </c>
      <c r="AV46" s="102">
        <f>IFERROR(AV38+AV43+AV44+AV45+0.1,"n.a.")</f>
        <v>157.89199999999997</v>
      </c>
      <c r="AW46" s="102">
        <f>IFERROR(AW38+AW43+AW44+AW45,"n.a.")</f>
        <v>445.79</v>
      </c>
      <c r="AX46" s="102">
        <f>IFERROR(AX38+AX43+AX44+AX45-0.1,"n.a.")</f>
        <v>124.61100000000008</v>
      </c>
      <c r="AY46" s="102">
        <f>IFERROR(AY38+AY43+AY44+AY45,"n.a.")</f>
        <v>570.40100000000007</v>
      </c>
      <c r="AZ46" s="102">
        <f>IFERROR(AZ38+AZ43+AZ44+AZ45,"n.a.")</f>
        <v>141.876</v>
      </c>
      <c r="BA46" s="102">
        <f>IFERROR(BA38+BA43+BA44+BA45,"n.a.")</f>
        <v>156.57400000000001</v>
      </c>
      <c r="BB46" s="102">
        <f>IFERROR(BB38+BB43+BB44+BB45+0.1,"n.a.")</f>
        <v>298.35000000000008</v>
      </c>
      <c r="BC46" s="102">
        <f>IFERROR(BC38+BC43+BC44+BC45-0.1,"n.a.")</f>
        <v>154.77357113620204</v>
      </c>
      <c r="BD46" s="102">
        <f>IFERROR(BD38+BD43+BD44+BD45,"n.a.")</f>
        <v>453.14557113620197</v>
      </c>
    </row>
    <row r="47" spans="1:59" x14ac:dyDescent="0.2">
      <c r="A47" s="215" t="s">
        <v>299</v>
      </c>
      <c r="B47" s="46"/>
      <c r="C47" s="46">
        <f t="shared" ref="C47:AE47" si="47">IFERROR(C46/C7,"n.a.")</f>
        <v>1.4249555423829283E-2</v>
      </c>
      <c r="D47" s="46">
        <f t="shared" si="47"/>
        <v>3.883049759229535E-2</v>
      </c>
      <c r="E47" s="46">
        <f t="shared" si="47"/>
        <v>2.6869710330050662E-2</v>
      </c>
      <c r="F47" s="46">
        <f t="shared" si="47"/>
        <v>5.2624648327602323E-2</v>
      </c>
      <c r="G47" s="46">
        <f t="shared" si="47"/>
        <v>3.5761122352623749E-2</v>
      </c>
      <c r="H47" s="46">
        <f t="shared" si="47"/>
        <v>0.12913608673466181</v>
      </c>
      <c r="I47" s="46">
        <f t="shared" si="47"/>
        <v>5.9592926286412891E-2</v>
      </c>
      <c r="J47" s="46">
        <f t="shared" si="47"/>
        <v>5.6501381318599268E-2</v>
      </c>
      <c r="K47" s="46" t="str">
        <f t="shared" si="47"/>
        <v>n.a.</v>
      </c>
      <c r="L47" s="46">
        <f t="shared" si="47"/>
        <v>5.9218672029195979E-2</v>
      </c>
      <c r="M47" s="46" t="str">
        <f t="shared" si="47"/>
        <v>n.a.</v>
      </c>
      <c r="N47" s="46">
        <f t="shared" si="47"/>
        <v>6.3759019437910111E-2</v>
      </c>
      <c r="O47" s="46">
        <f t="shared" si="47"/>
        <v>9.8377653420369984E-2</v>
      </c>
      <c r="P47" s="46">
        <f t="shared" si="47"/>
        <v>7.2275233937861186E-2</v>
      </c>
      <c r="Q47" s="46">
        <f t="shared" si="47"/>
        <v>8.6495528691561838E-2</v>
      </c>
      <c r="R47" s="46">
        <f t="shared" si="47"/>
        <v>8.8507194193551894E-2</v>
      </c>
      <c r="S47" s="46">
        <f t="shared" si="47"/>
        <v>8.7505098277762969E-2</v>
      </c>
      <c r="T47" s="46">
        <f t="shared" si="47"/>
        <v>0.13387005946405126</v>
      </c>
      <c r="U47" s="46">
        <f t="shared" si="47"/>
        <v>0.10280062162437582</v>
      </c>
      <c r="V47" s="46">
        <f t="shared" si="47"/>
        <v>0.13618758587653942</v>
      </c>
      <c r="W47" s="46">
        <f t="shared" si="47"/>
        <v>0.11095870526776194</v>
      </c>
      <c r="X47" s="46">
        <f t="shared" si="47"/>
        <v>9.3918118684369931E-2</v>
      </c>
      <c r="Y47" s="46">
        <f t="shared" si="47"/>
        <v>9.9030676960177894E-2</v>
      </c>
      <c r="Z47" s="46">
        <f t="shared" si="47"/>
        <v>9.650062169401355E-2</v>
      </c>
      <c r="AA47" s="46">
        <f t="shared" si="47"/>
        <v>8.9927117617211449E-2</v>
      </c>
      <c r="AB47" s="46">
        <f t="shared" si="47"/>
        <v>9.4250695672165971E-2</v>
      </c>
      <c r="AC47" s="46">
        <f t="shared" si="47"/>
        <v>0.10400654713838607</v>
      </c>
      <c r="AD47" s="46">
        <f t="shared" si="47"/>
        <v>9.6608844585992296E-2</v>
      </c>
      <c r="AE47" s="46">
        <f t="shared" si="47"/>
        <v>7.2515243844453819E-2</v>
      </c>
      <c r="AF47" s="46">
        <f>IFERROR(AF46/AF7,"n.a.")</f>
        <v>-0.11726244252193548</v>
      </c>
      <c r="AG47" s="46">
        <f>IFERROR(AG46/AG7,"n.a.")</f>
        <v>-7.4062900339071898E-3</v>
      </c>
      <c r="AH47" s="46">
        <f>IFERROR(AH46/AH7,"n.a.")</f>
        <v>0.10070212877553722</v>
      </c>
      <c r="AI47" s="46">
        <f>IFERROR(AI46/AI7,"n.a.")</f>
        <v>3.7242834932753252E-2</v>
      </c>
      <c r="AJ47" s="46">
        <f>IFERROR(AJ46/AJ7,"n.a.")</f>
        <v>0.10787957636383648</v>
      </c>
      <c r="AK47" s="46">
        <f t="shared" ref="AK47:AQ47" si="48">IFERROR(AK46/AK7,"n.a.")</f>
        <v>5.7065672802618067E-2</v>
      </c>
      <c r="AL47" s="46">
        <f t="shared" si="48"/>
        <v>7.5398786067493367E-2</v>
      </c>
      <c r="AM47" s="46">
        <f t="shared" si="48"/>
        <v>9.8792842501397582E-2</v>
      </c>
      <c r="AN47" s="46">
        <f t="shared" si="48"/>
        <v>8.7439728232666256E-2</v>
      </c>
      <c r="AO47" s="46">
        <f t="shared" si="48"/>
        <v>9.6021180778938051E-2</v>
      </c>
      <c r="AP47" s="46">
        <f t="shared" si="48"/>
        <v>9.049122190667111E-2</v>
      </c>
      <c r="AQ47" s="46">
        <f t="shared" si="48"/>
        <v>8.0346465567543615E-2</v>
      </c>
      <c r="AR47" s="46">
        <f t="shared" ref="AR47:AW47" si="49">IFERROR(AR46/AR7,"n.a.")</f>
        <v>8.7919046413264645E-2</v>
      </c>
      <c r="AS47" s="46">
        <f t="shared" si="49"/>
        <v>8.9144567944981587E-2</v>
      </c>
      <c r="AT47" s="46">
        <f t="shared" si="49"/>
        <v>9.0921350513704577E-2</v>
      </c>
      <c r="AU47" s="46">
        <f t="shared" si="49"/>
        <v>9.0044689371799519E-2</v>
      </c>
      <c r="AV47" s="46">
        <f t="shared" si="49"/>
        <v>8.5978855426771306E-2</v>
      </c>
      <c r="AW47" s="46">
        <f t="shared" si="49"/>
        <v>8.8567925056106209E-2</v>
      </c>
      <c r="AX47" s="46">
        <f>IFERROR(AX46/AX7,"n.a.")</f>
        <v>7.8748701329888801E-2</v>
      </c>
      <c r="AY47" s="46">
        <f t="shared" ref="AY47:BD47" si="50">IFERROR(AY46/AY7,"n.a.")</f>
        <v>8.6219296521910016E-2</v>
      </c>
      <c r="AZ47" s="46">
        <f t="shared" si="50"/>
        <v>8.3469236471460345E-2</v>
      </c>
      <c r="BA47" s="46">
        <f t="shared" si="50"/>
        <v>9.0101049627106161E-2</v>
      </c>
      <c r="BB47" s="46">
        <f t="shared" si="50"/>
        <v>8.6792727272727299E-2</v>
      </c>
      <c r="BC47" s="46">
        <f t="shared" si="50"/>
        <v>8.98393766452045E-2</v>
      </c>
      <c r="BD47" s="46">
        <f t="shared" si="50"/>
        <v>8.7814977883006004E-2</v>
      </c>
    </row>
    <row r="48" spans="1:59" x14ac:dyDescent="0.2">
      <c r="B48" s="70"/>
      <c r="C48" s="70"/>
      <c r="D48" s="70"/>
      <c r="E48" s="70"/>
      <c r="F48" s="70"/>
      <c r="G48" s="70"/>
      <c r="H48" s="70"/>
      <c r="I48" s="70"/>
      <c r="J48" s="70"/>
      <c r="K48" s="70"/>
      <c r="L48" s="70"/>
      <c r="M48" s="70"/>
      <c r="N48" s="70"/>
      <c r="O48" s="70"/>
      <c r="P48" s="70"/>
      <c r="Q48" s="70"/>
      <c r="R48" s="70"/>
      <c r="S48" s="70"/>
      <c r="T48" s="70"/>
      <c r="U48" s="217"/>
      <c r="V48" s="70"/>
      <c r="W48" s="70"/>
      <c r="X48" s="70"/>
      <c r="Y48" s="70"/>
      <c r="Z48" s="70"/>
      <c r="AA48" s="70"/>
      <c r="AB48" s="70"/>
      <c r="AC48" s="70"/>
      <c r="AD48" s="70"/>
      <c r="AE48" s="70"/>
      <c r="AF48" s="70"/>
      <c r="AG48" s="239">
        <f>AG40/AG7</f>
        <v>-5.5993930949131507E-2</v>
      </c>
      <c r="AH48" s="70"/>
      <c r="AI48" s="70"/>
      <c r="AJ48" s="70"/>
      <c r="AK48" s="70"/>
      <c r="AL48" s="70"/>
      <c r="AM48" s="70"/>
      <c r="AN48" s="239"/>
      <c r="AO48" s="70"/>
      <c r="AP48" s="70"/>
      <c r="AQ48" s="70"/>
      <c r="AR48" s="70"/>
      <c r="AS48" s="239"/>
      <c r="AV48" s="70"/>
      <c r="AW48" s="70"/>
      <c r="AX48" s="70"/>
      <c r="AY48" s="70"/>
      <c r="AZ48" s="239"/>
      <c r="BC48" s="70"/>
      <c r="BD48" s="70"/>
    </row>
    <row r="49" spans="1:56" ht="15" x14ac:dyDescent="0.25">
      <c r="L49" s="40"/>
      <c r="S49" s="40"/>
      <c r="T49" s="180"/>
      <c r="Z49" s="40"/>
      <c r="AA49" s="180"/>
      <c r="AG49" s="240"/>
    </row>
    <row r="50" spans="1:56" s="59" customFormat="1" ht="25.5" customHeight="1" x14ac:dyDescent="0.2">
      <c r="A50" s="259" t="s">
        <v>203</v>
      </c>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row>
    <row r="51" spans="1:56" s="59" customFormat="1" ht="12.75" customHeight="1" x14ac:dyDescent="0.2">
      <c r="A51" s="259" t="s">
        <v>239</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row>
    <row r="52" spans="1:56" s="59" customFormat="1" ht="25.5" customHeight="1" x14ac:dyDescent="0.2">
      <c r="A52" s="259" t="s">
        <v>244</v>
      </c>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row>
    <row r="53" spans="1:56" ht="12.75" customHeight="1" x14ac:dyDescent="0.2">
      <c r="A53" s="259" t="s">
        <v>249</v>
      </c>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V53" s="2"/>
      <c r="AW53" s="2"/>
      <c r="AX53" s="2"/>
      <c r="AY53" s="2"/>
      <c r="AZ53" s="2"/>
      <c r="BC53" s="2"/>
      <c r="BD53" s="2"/>
    </row>
    <row r="54" spans="1:56" ht="12.75" customHeight="1" x14ac:dyDescent="0.2">
      <c r="A54" s="259" t="s">
        <v>250</v>
      </c>
      <c r="B54" s="259"/>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V54" s="2"/>
      <c r="AW54" s="2"/>
      <c r="AX54" s="2"/>
      <c r="AY54" s="2"/>
      <c r="AZ54" s="2"/>
      <c r="BC54" s="2"/>
      <c r="BD54" s="2"/>
    </row>
    <row r="55" spans="1:56" x14ac:dyDescent="0.2">
      <c r="A55" s="259" t="s">
        <v>300</v>
      </c>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V55" s="2"/>
      <c r="AW55" s="2"/>
      <c r="AX55" s="2"/>
      <c r="AY55" s="2"/>
      <c r="AZ55" s="2"/>
      <c r="BC55" s="2"/>
      <c r="BD55" s="2"/>
    </row>
  </sheetData>
  <dataConsolidate link="1"/>
  <mergeCells count="6">
    <mergeCell ref="A55:AS55"/>
    <mergeCell ref="A50:AS50"/>
    <mergeCell ref="A51:AS51"/>
    <mergeCell ref="A52:AS52"/>
    <mergeCell ref="A53:AS53"/>
    <mergeCell ref="A54:AS54"/>
  </mergeCells>
  <pageMargins left="0" right="0" top="0" bottom="0" header="0" footer="0"/>
  <pageSetup paperSize="9" scale="80" orientation="landscape" r:id="rId1"/>
  <ignoredErrors>
    <ignoredError sqref="K16:Q16 AF25 N38 AH25 AJ25 AG36 AG38 AO40 AM40 AJ40 AH40 AF40 AC40 Y40 AA40 R40 T40 V40 O40 H40 AO25 AQ25 AQ40 AP38 AK43 AK46 AP43 AI38 AI46 AR31 AT25 AM25 AT40 AV46 AX46 AX40 AX25 AV25"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72"/>
  <sheetViews>
    <sheetView showGridLines="0" zoomScale="77" zoomScaleNormal="100" zoomScaleSheetLayoutView="100" workbookViewId="0">
      <pane xSplit="2" ySplit="6" topLeftCell="C7" activePane="bottomRight" state="frozen"/>
      <selection pane="topRight" activeCell="C1" sqref="C1"/>
      <selection pane="bottomLeft" activeCell="A8" sqref="A8"/>
      <selection pane="bottomRight"/>
    </sheetView>
  </sheetViews>
  <sheetFormatPr defaultColWidth="9" defaultRowHeight="12.75" outlineLevelRow="1" outlineLevelCol="1" x14ac:dyDescent="0.2"/>
  <cols>
    <col min="1" max="1" width="57" style="2" customWidth="1"/>
    <col min="2" max="2" width="1.875" style="2" customWidth="1"/>
    <col min="3" max="3" width="12.625" style="2" customWidth="1"/>
    <col min="4" max="5" width="12.625" style="2" hidden="1" customWidth="1" outlineLevel="1"/>
    <col min="6" max="6" width="12.625" style="2" hidden="1" customWidth="1" outlineLevel="1" collapsed="1"/>
    <col min="7" max="7" width="12.625" style="2" customWidth="1" collapsed="1"/>
    <col min="8" max="12" width="12.625" style="2" customWidth="1"/>
    <col min="13" max="16384" width="9" style="2"/>
  </cols>
  <sheetData>
    <row r="1" spans="1:13" s="8" customFormat="1" ht="27.75" customHeight="1" x14ac:dyDescent="0.2">
      <c r="A1" s="8" t="s">
        <v>339</v>
      </c>
      <c r="C1" s="9"/>
      <c r="D1" s="9"/>
      <c r="E1" s="9"/>
      <c r="F1" s="9"/>
      <c r="G1" s="9"/>
      <c r="H1" s="9"/>
      <c r="I1" s="9"/>
      <c r="J1" s="9"/>
      <c r="K1" s="9"/>
      <c r="L1" s="9"/>
    </row>
    <row r="2" spans="1:13" x14ac:dyDescent="0.2">
      <c r="A2" s="30" t="s">
        <v>190</v>
      </c>
      <c r="B2" s="30"/>
      <c r="L2" s="155"/>
    </row>
    <row r="4" spans="1:13" ht="13.5" thickBot="1" x14ac:dyDescent="0.25">
      <c r="A4" s="11" t="s">
        <v>42</v>
      </c>
      <c r="B4" s="11"/>
      <c r="C4" s="200" t="s">
        <v>24</v>
      </c>
      <c r="D4" s="13" t="s">
        <v>25</v>
      </c>
      <c r="E4" s="13" t="s">
        <v>26</v>
      </c>
      <c r="F4" s="13" t="s">
        <v>26</v>
      </c>
      <c r="G4" s="13" t="s">
        <v>161</v>
      </c>
      <c r="H4" s="13" t="s">
        <v>261</v>
      </c>
      <c r="I4" s="13" t="s">
        <v>303</v>
      </c>
      <c r="J4" s="13" t="s">
        <v>327</v>
      </c>
      <c r="K4" s="13" t="s">
        <v>371</v>
      </c>
      <c r="L4" s="13" t="s">
        <v>383</v>
      </c>
    </row>
    <row r="5" spans="1:13" x14ac:dyDescent="0.2">
      <c r="C5" s="201" t="s">
        <v>176</v>
      </c>
      <c r="D5" s="37" t="s">
        <v>176</v>
      </c>
      <c r="E5" s="37" t="s">
        <v>176</v>
      </c>
      <c r="F5" s="37" t="s">
        <v>189</v>
      </c>
      <c r="G5" s="37" t="s">
        <v>175</v>
      </c>
      <c r="H5" s="37" t="s">
        <v>175</v>
      </c>
      <c r="I5" s="37" t="s">
        <v>175</v>
      </c>
      <c r="J5" s="37" t="s">
        <v>175</v>
      </c>
      <c r="K5" s="37" t="s">
        <v>175</v>
      </c>
      <c r="L5" s="37" t="s">
        <v>175</v>
      </c>
    </row>
    <row r="7" spans="1:13" x14ac:dyDescent="0.2">
      <c r="A7" s="14" t="s">
        <v>27</v>
      </c>
      <c r="B7" s="14"/>
      <c r="C7" s="196"/>
      <c r="D7" s="189">
        <v>7.0000000000000001E-3</v>
      </c>
      <c r="E7" s="189">
        <v>3.5000000000000003E-2</v>
      </c>
      <c r="F7" s="189">
        <v>3.5000000000000003E-2</v>
      </c>
      <c r="G7" s="189">
        <v>0.01</v>
      </c>
      <c r="H7" s="189">
        <v>-3.1E-2</v>
      </c>
      <c r="I7" s="189">
        <v>-0.02</v>
      </c>
      <c r="J7" s="189">
        <v>-0.153</v>
      </c>
      <c r="K7" s="189">
        <v>0.157</v>
      </c>
      <c r="L7" s="189">
        <v>-0.01</v>
      </c>
    </row>
    <row r="8" spans="1:13" x14ac:dyDescent="0.2">
      <c r="A8" s="29" t="s">
        <v>14</v>
      </c>
      <c r="B8" s="29"/>
      <c r="C8" s="197"/>
      <c r="D8" s="191">
        <v>0.17100000000000001</v>
      </c>
      <c r="E8" s="191">
        <v>0.155</v>
      </c>
      <c r="F8" s="191">
        <v>0.155</v>
      </c>
      <c r="G8" s="191">
        <v>0.125</v>
      </c>
      <c r="H8" s="191">
        <v>0.11</v>
      </c>
      <c r="I8" s="191">
        <v>6.4000000000000001E-2</v>
      </c>
      <c r="J8" s="191">
        <v>-0.09</v>
      </c>
      <c r="K8" s="191">
        <v>0.20200000000000001</v>
      </c>
      <c r="L8" s="191">
        <v>4.6798488245852227E-2</v>
      </c>
    </row>
    <row r="9" spans="1:13" x14ac:dyDescent="0.2">
      <c r="A9" s="29" t="s">
        <v>13</v>
      </c>
      <c r="B9" s="29"/>
      <c r="C9" s="197"/>
      <c r="D9" s="192">
        <v>-5.8999999999999997E-2</v>
      </c>
      <c r="E9" s="192">
        <v>-2.3E-2</v>
      </c>
      <c r="F9" s="192">
        <v>-2.3E-2</v>
      </c>
      <c r="G9" s="191">
        <v>-5.2705769087852516E-2</v>
      </c>
      <c r="H9" s="191">
        <v>-0.14000000000000001</v>
      </c>
      <c r="I9" s="191">
        <v>-9.7000000000000003E-2</v>
      </c>
      <c r="J9" s="191">
        <v>-0.214</v>
      </c>
      <c r="K9" s="191">
        <v>0.112</v>
      </c>
      <c r="L9" s="191">
        <v>-6.3E-2</v>
      </c>
      <c r="M9" s="114"/>
    </row>
    <row r="10" spans="1:13" x14ac:dyDescent="0.2">
      <c r="C10" s="198"/>
      <c r="D10" s="193"/>
      <c r="E10" s="193"/>
      <c r="F10" s="193"/>
      <c r="G10" s="193"/>
      <c r="H10" s="193"/>
      <c r="I10" s="193"/>
      <c r="J10" s="193"/>
      <c r="K10" s="193"/>
      <c r="L10" s="193"/>
    </row>
    <row r="11" spans="1:13" x14ac:dyDescent="0.2">
      <c r="A11" s="14" t="s">
        <v>28</v>
      </c>
      <c r="B11" s="14"/>
      <c r="C11" s="196"/>
      <c r="D11" s="189">
        <v>4.1000000000000002E-2</v>
      </c>
      <c r="E11" s="189">
        <v>3.4000000000000002E-2</v>
      </c>
      <c r="F11" s="189">
        <v>3.4000000000000002E-2</v>
      </c>
      <c r="G11" s="189">
        <v>6.9000000000000006E-2</v>
      </c>
      <c r="H11" s="189">
        <v>6.8000000000000005E-2</v>
      </c>
      <c r="I11" s="189">
        <v>4.2000000000000003E-2</v>
      </c>
      <c r="J11" s="189">
        <v>1.2E-2</v>
      </c>
      <c r="K11" s="189">
        <v>9.0999999999999998E-2</v>
      </c>
      <c r="L11" s="189">
        <v>0.19700000000000001</v>
      </c>
    </row>
    <row r="12" spans="1:13" x14ac:dyDescent="0.2">
      <c r="C12" s="198"/>
      <c r="D12" s="193"/>
      <c r="E12" s="193"/>
      <c r="F12" s="193"/>
      <c r="G12" s="193"/>
      <c r="H12" s="193"/>
      <c r="I12" s="193"/>
      <c r="J12" s="193"/>
      <c r="K12" s="193"/>
      <c r="L12" s="193"/>
    </row>
    <row r="13" spans="1:13" x14ac:dyDescent="0.2">
      <c r="A13" s="20" t="s">
        <v>344</v>
      </c>
      <c r="B13" s="20"/>
      <c r="C13" s="196"/>
      <c r="D13" s="189">
        <v>0.02</v>
      </c>
      <c r="E13" s="189">
        <v>-4.3999999999999997E-2</v>
      </c>
      <c r="F13" s="189">
        <v>-4.3999999999999997E-2</v>
      </c>
      <c r="G13" s="189">
        <v>-7.0000000000000001E-3</v>
      </c>
      <c r="H13" s="189">
        <v>-5.8999999999999997E-2</v>
      </c>
      <c r="I13" s="189">
        <v>3.0000000000000001E-3</v>
      </c>
      <c r="J13" s="189">
        <v>-5.0999999999999997E-2</v>
      </c>
      <c r="K13" s="189">
        <v>-8.9999999999999993E-3</v>
      </c>
      <c r="L13" s="189">
        <v>5.3999999999999999E-2</v>
      </c>
    </row>
    <row r="14" spans="1:13" x14ac:dyDescent="0.2">
      <c r="C14" s="198"/>
      <c r="D14" s="193"/>
      <c r="E14" s="193"/>
      <c r="F14" s="193"/>
      <c r="G14" s="193"/>
      <c r="H14" s="193"/>
      <c r="I14" s="193"/>
      <c r="J14" s="193"/>
      <c r="K14" s="193"/>
      <c r="L14" s="193"/>
    </row>
    <row r="15" spans="1:13" x14ac:dyDescent="0.2">
      <c r="A15" s="176" t="s">
        <v>264</v>
      </c>
      <c r="B15" s="176"/>
      <c r="C15" s="196"/>
      <c r="D15" s="189">
        <v>0</v>
      </c>
      <c r="E15" s="189">
        <v>1.4999999999999999E-2</v>
      </c>
      <c r="F15" s="189">
        <v>1.4999999999999999E-2</v>
      </c>
      <c r="G15" s="189">
        <v>4.0000000000000001E-3</v>
      </c>
      <c r="H15" s="189">
        <v>-7.0000000000000001E-3</v>
      </c>
      <c r="I15" s="189">
        <v>0</v>
      </c>
      <c r="J15" s="189">
        <v>0</v>
      </c>
      <c r="K15" s="189">
        <v>0</v>
      </c>
      <c r="L15" s="189">
        <v>0</v>
      </c>
    </row>
    <row r="16" spans="1:13" x14ac:dyDescent="0.2">
      <c r="C16" s="37"/>
      <c r="D16" s="194"/>
      <c r="E16" s="194"/>
      <c r="F16" s="194"/>
      <c r="G16" s="194"/>
      <c r="H16" s="194"/>
      <c r="I16" s="194"/>
      <c r="J16" s="194"/>
      <c r="K16" s="194"/>
      <c r="L16" s="194"/>
    </row>
    <row r="17" spans="1:17" s="22" customFormat="1" x14ac:dyDescent="0.2">
      <c r="A17" s="104" t="s">
        <v>29</v>
      </c>
      <c r="B17" s="104"/>
      <c r="C17" s="199"/>
      <c r="D17" s="195">
        <f t="shared" ref="D17:I17" si="0">SUM(D7,D11,D13,D15)</f>
        <v>6.8000000000000005E-2</v>
      </c>
      <c r="E17" s="195">
        <f t="shared" si="0"/>
        <v>4.0000000000000008E-2</v>
      </c>
      <c r="F17" s="195">
        <f t="shared" si="0"/>
        <v>4.0000000000000008E-2</v>
      </c>
      <c r="G17" s="195">
        <f t="shared" si="0"/>
        <v>7.5999999999999998E-2</v>
      </c>
      <c r="H17" s="195">
        <f t="shared" si="0"/>
        <v>-2.8999999999999991E-2</v>
      </c>
      <c r="I17" s="195">
        <f t="shared" si="0"/>
        <v>2.5000000000000001E-2</v>
      </c>
      <c r="J17" s="195">
        <f>SUM(J7,J11,J13,J15)</f>
        <v>-0.19199999999999998</v>
      </c>
      <c r="K17" s="195">
        <f>SUM(K7,K11,K13,K15)</f>
        <v>0.23899999999999999</v>
      </c>
      <c r="L17" s="195">
        <f>SUM(L7,L11,L13,L15)</f>
        <v>0.24099999999999999</v>
      </c>
    </row>
    <row r="18" spans="1:17" hidden="1" outlineLevel="1" x14ac:dyDescent="0.2">
      <c r="C18" s="37"/>
      <c r="D18" s="37"/>
      <c r="E18" s="37"/>
      <c r="F18" s="37"/>
      <c r="G18" s="37"/>
      <c r="H18" s="37"/>
      <c r="I18" s="37"/>
      <c r="J18" s="37"/>
      <c r="K18" s="37"/>
      <c r="L18" s="37"/>
    </row>
    <row r="19" spans="1:17" hidden="1" outlineLevel="1" x14ac:dyDescent="0.2">
      <c r="C19" s="37"/>
      <c r="D19" s="37"/>
      <c r="E19" s="37"/>
      <c r="F19" s="37"/>
      <c r="G19" s="37"/>
      <c r="H19" s="37"/>
      <c r="I19" s="37"/>
      <c r="J19" s="37"/>
      <c r="K19" s="37"/>
      <c r="L19" s="37"/>
    </row>
    <row r="20" spans="1:17" ht="13.5" hidden="1" outlineLevel="1" thickBot="1" x14ac:dyDescent="0.25">
      <c r="A20" s="11" t="s">
        <v>317</v>
      </c>
      <c r="B20" s="11"/>
      <c r="C20" s="13" t="str">
        <f t="shared" ref="C20:I21" si="1">C4</f>
        <v>FY 2014</v>
      </c>
      <c r="D20" s="13" t="str">
        <f t="shared" si="1"/>
        <v>FY 2015</v>
      </c>
      <c r="E20" s="13" t="str">
        <f t="shared" si="1"/>
        <v>FY 2016</v>
      </c>
      <c r="F20" s="13" t="str">
        <f t="shared" si="1"/>
        <v>FY 2016</v>
      </c>
      <c r="G20" s="13" t="str">
        <f t="shared" si="1"/>
        <v>FY 2017</v>
      </c>
      <c r="H20" s="13" t="str">
        <f t="shared" si="1"/>
        <v>FY 2018</v>
      </c>
      <c r="I20" s="13" t="str">
        <f t="shared" si="1"/>
        <v>FY 2019</v>
      </c>
      <c r="J20" s="13" t="str">
        <f t="shared" ref="J20:L21" si="2">J4</f>
        <v>FY 2020</v>
      </c>
      <c r="K20" s="13" t="str">
        <f t="shared" si="2"/>
        <v>FY 2021</v>
      </c>
      <c r="L20" s="13" t="str">
        <f t="shared" si="2"/>
        <v>FY 2022</v>
      </c>
    </row>
    <row r="21" spans="1:17" hidden="1" outlineLevel="1" x14ac:dyDescent="0.2">
      <c r="C21" s="37" t="str">
        <f t="shared" si="1"/>
        <v>carve-out</v>
      </c>
      <c r="D21" s="37" t="str">
        <f t="shared" si="1"/>
        <v>carve-out</v>
      </c>
      <c r="E21" s="37" t="str">
        <f t="shared" si="1"/>
        <v>carve-out</v>
      </c>
      <c r="F21" s="37" t="str">
        <f t="shared" si="1"/>
        <v>restated</v>
      </c>
      <c r="G21" s="37" t="str">
        <f t="shared" si="1"/>
        <v>reported</v>
      </c>
      <c r="H21" s="37" t="str">
        <f t="shared" si="1"/>
        <v>reported</v>
      </c>
      <c r="I21" s="37" t="str">
        <f t="shared" si="1"/>
        <v>reported</v>
      </c>
      <c r="J21" s="37" t="str">
        <f t="shared" si="2"/>
        <v>reported</v>
      </c>
      <c r="K21" s="37" t="str">
        <f t="shared" si="2"/>
        <v>reported</v>
      </c>
      <c r="L21" s="37" t="str">
        <f t="shared" si="2"/>
        <v>reported</v>
      </c>
    </row>
    <row r="22" spans="1:17" hidden="1" outlineLevel="1" x14ac:dyDescent="0.2">
      <c r="C22" s="37"/>
      <c r="D22" s="37"/>
      <c r="E22" s="37"/>
      <c r="F22" s="37"/>
      <c r="G22" s="37"/>
      <c r="H22" s="37"/>
      <c r="I22" s="37"/>
      <c r="J22" s="37"/>
      <c r="K22" s="37"/>
      <c r="L22" s="37"/>
    </row>
    <row r="23" spans="1:17" hidden="1" outlineLevel="1" x14ac:dyDescent="0.2">
      <c r="A23" s="14" t="s">
        <v>272</v>
      </c>
      <c r="B23" s="14"/>
      <c r="C23" s="41" t="s">
        <v>228</v>
      </c>
      <c r="D23" s="41" t="s">
        <v>228</v>
      </c>
      <c r="E23" s="41" t="s">
        <v>228</v>
      </c>
      <c r="F23" s="41" t="s">
        <v>228</v>
      </c>
      <c r="G23" s="41" t="s">
        <v>228</v>
      </c>
      <c r="H23" s="41">
        <v>2329.136</v>
      </c>
      <c r="I23" s="41">
        <v>2288.6759999999999</v>
      </c>
      <c r="J23" s="41" t="s">
        <v>228</v>
      </c>
      <c r="K23" s="41" t="s">
        <v>228</v>
      </c>
      <c r="L23" s="41" t="s">
        <v>228</v>
      </c>
      <c r="M23" s="177"/>
      <c r="N23" s="177"/>
    </row>
    <row r="24" spans="1:17" s="27" customFormat="1" hidden="1" outlineLevel="1" x14ac:dyDescent="0.2">
      <c r="A24" s="25" t="s">
        <v>82</v>
      </c>
      <c r="B24" s="25"/>
      <c r="C24" s="188" t="str">
        <f t="shared" ref="C24:L24" si="3">IFERROR(C23/C38,"")</f>
        <v/>
      </c>
      <c r="D24" s="188" t="str">
        <f t="shared" si="3"/>
        <v/>
      </c>
      <c r="E24" s="188" t="str">
        <f t="shared" si="3"/>
        <v/>
      </c>
      <c r="F24" s="188" t="str">
        <f t="shared" si="3"/>
        <v/>
      </c>
      <c r="G24" s="188" t="str">
        <f t="shared" si="3"/>
        <v/>
      </c>
      <c r="H24" s="188">
        <f t="shared" si="3"/>
        <v>0.44838804381201913</v>
      </c>
      <c r="I24" s="188">
        <f t="shared" si="3"/>
        <v>0.42995551612955946</v>
      </c>
      <c r="J24" s="188" t="str">
        <f t="shared" si="3"/>
        <v/>
      </c>
      <c r="K24" s="188" t="str">
        <f t="shared" si="3"/>
        <v/>
      </c>
      <c r="L24" s="188" t="str">
        <f t="shared" si="3"/>
        <v/>
      </c>
      <c r="M24" s="2"/>
      <c r="N24" s="2"/>
    </row>
    <row r="25" spans="1:17" hidden="1" outlineLevel="1" x14ac:dyDescent="0.2">
      <c r="C25" s="40"/>
      <c r="D25" s="40"/>
      <c r="E25" s="40"/>
      <c r="F25" s="40"/>
      <c r="G25" s="40"/>
      <c r="H25" s="40"/>
      <c r="I25" s="40"/>
      <c r="J25" s="40"/>
      <c r="K25" s="40"/>
      <c r="L25" s="40"/>
    </row>
    <row r="26" spans="1:17" hidden="1" outlineLevel="1" x14ac:dyDescent="0.2">
      <c r="A26" s="14" t="s">
        <v>273</v>
      </c>
      <c r="B26" s="14"/>
      <c r="C26" s="41" t="s">
        <v>228</v>
      </c>
      <c r="D26" s="41" t="s">
        <v>228</v>
      </c>
      <c r="E26" s="41" t="s">
        <v>228</v>
      </c>
      <c r="F26" s="41" t="s">
        <v>228</v>
      </c>
      <c r="G26" s="41" t="s">
        <v>228</v>
      </c>
      <c r="H26" s="41">
        <v>1004.027</v>
      </c>
      <c r="I26" s="41">
        <v>1101.855</v>
      </c>
      <c r="J26" s="41" t="s">
        <v>228</v>
      </c>
      <c r="K26" s="41" t="s">
        <v>228</v>
      </c>
      <c r="L26" s="41" t="s">
        <v>228</v>
      </c>
      <c r="M26" s="177"/>
      <c r="N26" s="177"/>
    </row>
    <row r="27" spans="1:17" s="27" customFormat="1" hidden="1" outlineLevel="1" x14ac:dyDescent="0.2">
      <c r="A27" s="25" t="s">
        <v>274</v>
      </c>
      <c r="B27" s="25"/>
      <c r="C27" s="188" t="str">
        <f t="shared" ref="C27:L27" si="4">IFERROR(C26/C38,"")</f>
        <v/>
      </c>
      <c r="D27" s="188" t="str">
        <f t="shared" si="4"/>
        <v/>
      </c>
      <c r="E27" s="188" t="str">
        <f t="shared" si="4"/>
        <v/>
      </c>
      <c r="F27" s="188" t="str">
        <f t="shared" si="4"/>
        <v/>
      </c>
      <c r="G27" s="188" t="str">
        <f t="shared" si="4"/>
        <v/>
      </c>
      <c r="H27" s="188">
        <f t="shared" si="4"/>
        <v>0.19328785543843302</v>
      </c>
      <c r="I27" s="188">
        <f t="shared" si="4"/>
        <v>0.20699681179202989</v>
      </c>
      <c r="J27" s="188" t="str">
        <f t="shared" si="4"/>
        <v/>
      </c>
      <c r="K27" s="188" t="str">
        <f t="shared" si="4"/>
        <v/>
      </c>
      <c r="L27" s="188" t="str">
        <f t="shared" si="4"/>
        <v/>
      </c>
      <c r="M27" s="2"/>
      <c r="N27" s="2"/>
      <c r="O27" s="2"/>
      <c r="P27" s="2"/>
      <c r="Q27" s="2"/>
    </row>
    <row r="28" spans="1:17" hidden="1" outlineLevel="1" x14ac:dyDescent="0.2">
      <c r="C28" s="37"/>
      <c r="D28" s="37"/>
      <c r="E28" s="37"/>
      <c r="F28" s="37"/>
      <c r="G28" s="37"/>
      <c r="H28" s="37"/>
      <c r="I28" s="37"/>
      <c r="J28" s="37"/>
      <c r="K28" s="37"/>
      <c r="L28" s="37"/>
    </row>
    <row r="29" spans="1:17" hidden="1" outlineLevel="1" x14ac:dyDescent="0.2">
      <c r="A29" s="14" t="s">
        <v>39</v>
      </c>
      <c r="B29" s="14"/>
      <c r="C29" s="41" t="s">
        <v>228</v>
      </c>
      <c r="D29" s="41" t="s">
        <v>228</v>
      </c>
      <c r="E29" s="41" t="s">
        <v>228</v>
      </c>
      <c r="F29" s="41" t="s">
        <v>228</v>
      </c>
      <c r="G29" s="41" t="s">
        <v>228</v>
      </c>
      <c r="H29" s="41">
        <v>903.81200000000001</v>
      </c>
      <c r="I29" s="41">
        <v>975.13099999999997</v>
      </c>
      <c r="J29" s="41" t="s">
        <v>228</v>
      </c>
      <c r="K29" s="41" t="s">
        <v>228</v>
      </c>
      <c r="L29" s="41" t="s">
        <v>228</v>
      </c>
      <c r="M29" s="177"/>
      <c r="N29" s="177"/>
    </row>
    <row r="30" spans="1:17" s="27" customFormat="1" hidden="1" outlineLevel="1" x14ac:dyDescent="0.2">
      <c r="A30" s="25" t="s">
        <v>172</v>
      </c>
      <c r="B30" s="25"/>
      <c r="C30" s="188" t="str">
        <f t="shared" ref="C30:L30" si="5">IFERROR(C29/C38,"")</f>
        <v/>
      </c>
      <c r="D30" s="188" t="str">
        <f t="shared" si="5"/>
        <v/>
      </c>
      <c r="E30" s="188" t="str">
        <f t="shared" si="5"/>
        <v/>
      </c>
      <c r="F30" s="188" t="str">
        <f t="shared" si="5"/>
        <v/>
      </c>
      <c r="G30" s="188" t="str">
        <f t="shared" si="5"/>
        <v/>
      </c>
      <c r="H30" s="188">
        <f t="shared" si="5"/>
        <v>0.1739952045109554</v>
      </c>
      <c r="I30" s="188">
        <f t="shared" si="5"/>
        <v>0.18319017300785845</v>
      </c>
      <c r="J30" s="188" t="str">
        <f t="shared" si="5"/>
        <v/>
      </c>
      <c r="K30" s="188" t="str">
        <f t="shared" si="5"/>
        <v/>
      </c>
      <c r="L30" s="188" t="str">
        <f t="shared" si="5"/>
        <v/>
      </c>
      <c r="M30" s="2"/>
      <c r="N30" s="2"/>
      <c r="O30" s="2"/>
      <c r="P30" s="2"/>
      <c r="Q30" s="2"/>
    </row>
    <row r="31" spans="1:17" hidden="1" outlineLevel="1" x14ac:dyDescent="0.2">
      <c r="C31" s="37"/>
      <c r="D31" s="37"/>
      <c r="E31" s="37"/>
      <c r="F31" s="37"/>
      <c r="G31" s="37"/>
      <c r="H31" s="37"/>
      <c r="I31" s="37"/>
      <c r="J31" s="37"/>
      <c r="K31" s="37"/>
      <c r="L31" s="37"/>
    </row>
    <row r="32" spans="1:17" hidden="1" outlineLevel="1" x14ac:dyDescent="0.2">
      <c r="A32" s="14" t="s">
        <v>275</v>
      </c>
      <c r="B32" s="14"/>
      <c r="C32" s="41" t="s">
        <v>228</v>
      </c>
      <c r="D32" s="41" t="s">
        <v>228</v>
      </c>
      <c r="E32" s="41" t="s">
        <v>228</v>
      </c>
      <c r="F32" s="41" t="s">
        <v>228</v>
      </c>
      <c r="G32" s="41" t="s">
        <v>228</v>
      </c>
      <c r="H32" s="41">
        <v>691.87400000000002</v>
      </c>
      <c r="I32" s="41">
        <v>681.99</v>
      </c>
      <c r="J32" s="41" t="s">
        <v>228</v>
      </c>
      <c r="K32" s="41" t="s">
        <v>228</v>
      </c>
      <c r="L32" s="41" t="s">
        <v>228</v>
      </c>
      <c r="M32" s="177"/>
      <c r="N32" s="177"/>
    </row>
    <row r="33" spans="1:17" s="27" customFormat="1" hidden="1" outlineLevel="1" x14ac:dyDescent="0.2">
      <c r="A33" s="25" t="s">
        <v>276</v>
      </c>
      <c r="B33" s="25"/>
      <c r="C33" s="188" t="str">
        <f t="shared" ref="C33:L33" si="6">IFERROR(C32/C38,"")</f>
        <v/>
      </c>
      <c r="D33" s="188" t="str">
        <f t="shared" si="6"/>
        <v/>
      </c>
      <c r="E33" s="188" t="str">
        <f t="shared" si="6"/>
        <v/>
      </c>
      <c r="F33" s="188" t="str">
        <f t="shared" si="6"/>
        <v/>
      </c>
      <c r="G33" s="188" t="str">
        <f t="shared" si="6"/>
        <v/>
      </c>
      <c r="H33" s="188">
        <f t="shared" si="6"/>
        <v>0.13319446757269518</v>
      </c>
      <c r="I33" s="188">
        <f t="shared" si="6"/>
        <v>0.12812008447032183</v>
      </c>
      <c r="J33" s="188" t="str">
        <f t="shared" si="6"/>
        <v/>
      </c>
      <c r="K33" s="188" t="str">
        <f t="shared" si="6"/>
        <v/>
      </c>
      <c r="L33" s="188" t="str">
        <f t="shared" si="6"/>
        <v/>
      </c>
      <c r="M33" s="2"/>
      <c r="N33" s="2"/>
      <c r="O33" s="2"/>
      <c r="P33" s="2"/>
      <c r="Q33" s="2"/>
    </row>
    <row r="34" spans="1:17" hidden="1" outlineLevel="1" x14ac:dyDescent="0.2">
      <c r="C34" s="37"/>
      <c r="D34" s="37"/>
      <c r="E34" s="37"/>
      <c r="F34" s="37"/>
      <c r="G34" s="37"/>
      <c r="H34" s="37"/>
      <c r="I34" s="37"/>
      <c r="J34" s="37"/>
      <c r="K34" s="37"/>
      <c r="L34" s="37"/>
    </row>
    <row r="35" spans="1:17" hidden="1" outlineLevel="1" x14ac:dyDescent="0.2">
      <c r="A35" s="14" t="s">
        <v>277</v>
      </c>
      <c r="B35" s="14"/>
      <c r="C35" s="41" t="s">
        <v>228</v>
      </c>
      <c r="D35" s="41" t="s">
        <v>228</v>
      </c>
      <c r="E35" s="41" t="s">
        <v>228</v>
      </c>
      <c r="F35" s="41" t="s">
        <v>228</v>
      </c>
      <c r="G35" s="41" t="s">
        <v>228</v>
      </c>
      <c r="H35" s="41">
        <v>265.61599999999999</v>
      </c>
      <c r="I35" s="41">
        <v>275.40100000000001</v>
      </c>
      <c r="J35" s="41" t="s">
        <v>228</v>
      </c>
      <c r="K35" s="41" t="s">
        <v>228</v>
      </c>
      <c r="L35" s="41" t="s">
        <v>228</v>
      </c>
      <c r="M35" s="177"/>
      <c r="N35" s="177"/>
    </row>
    <row r="36" spans="1:17" s="27" customFormat="1" hidden="1" outlineLevel="1" x14ac:dyDescent="0.2">
      <c r="A36" s="25" t="s">
        <v>278</v>
      </c>
      <c r="B36" s="25"/>
      <c r="C36" s="188" t="str">
        <f t="shared" ref="C36:L36" si="7">IFERROR(C35/C38,"")</f>
        <v/>
      </c>
      <c r="D36" s="188" t="str">
        <f t="shared" si="7"/>
        <v/>
      </c>
      <c r="E36" s="188" t="str">
        <f t="shared" si="7"/>
        <v/>
      </c>
      <c r="F36" s="188" t="str">
        <f t="shared" si="7"/>
        <v/>
      </c>
      <c r="G36" s="188" t="str">
        <f t="shared" si="7"/>
        <v/>
      </c>
      <c r="H36" s="188">
        <f t="shared" si="7"/>
        <v>5.1134428665897257E-2</v>
      </c>
      <c r="I36" s="188">
        <f t="shared" si="7"/>
        <v>5.1737414600230361E-2</v>
      </c>
      <c r="J36" s="188" t="str">
        <f t="shared" si="7"/>
        <v/>
      </c>
      <c r="K36" s="188" t="str">
        <f t="shared" si="7"/>
        <v/>
      </c>
      <c r="L36" s="188" t="str">
        <f t="shared" si="7"/>
        <v/>
      </c>
      <c r="M36" s="2"/>
      <c r="N36" s="2"/>
      <c r="O36" s="2"/>
      <c r="P36" s="2"/>
      <c r="Q36" s="2"/>
    </row>
    <row r="37" spans="1:17" hidden="1" outlineLevel="1" x14ac:dyDescent="0.2">
      <c r="C37" s="37"/>
      <c r="D37" s="37"/>
      <c r="E37" s="37"/>
      <c r="F37" s="37"/>
      <c r="G37" s="37"/>
      <c r="H37" s="37"/>
      <c r="I37" s="37"/>
      <c r="J37" s="37"/>
      <c r="K37" s="37"/>
      <c r="L37" s="37"/>
    </row>
    <row r="38" spans="1:17" s="22" customFormat="1" hidden="1" outlineLevel="1" x14ac:dyDescent="0.2">
      <c r="A38" s="99" t="s">
        <v>29</v>
      </c>
      <c r="B38" s="99"/>
      <c r="C38" s="100">
        <f>C65</f>
        <v>4479.9049999999997</v>
      </c>
      <c r="D38" s="100">
        <f>D65</f>
        <v>4785.3969999999999</v>
      </c>
      <c r="E38" s="100">
        <f>E65</f>
        <v>4976.3959999999997</v>
      </c>
      <c r="F38" s="100">
        <f>F65</f>
        <v>4976.3959999999997</v>
      </c>
      <c r="G38" s="100">
        <f>G65</f>
        <v>5352.2759999999998</v>
      </c>
      <c r="H38" s="100">
        <f>IFERROR(H23+H26+H29+H32+H35,"n.a.")</f>
        <v>5194.4650000000001</v>
      </c>
      <c r="I38" s="100">
        <f>IFERROR(I23+I26+I29+I32+I35,"n.a.")</f>
        <v>5323.0529999999999</v>
      </c>
      <c r="J38" s="100" t="str">
        <f>IFERROR(J23+J26+J29+J32+J35,"n.a.")</f>
        <v>n.a.</v>
      </c>
      <c r="K38" s="100" t="str">
        <f>IFERROR(K23+K26+K29+K32+K35,"n.a.")</f>
        <v>n.a.</v>
      </c>
      <c r="L38" s="100" t="str">
        <f>IFERROR(L23+L26+L29+L32+L35,"n.a.")</f>
        <v>n.a.</v>
      </c>
    </row>
    <row r="39" spans="1:17" hidden="1" outlineLevel="1" x14ac:dyDescent="0.2">
      <c r="C39" s="37"/>
      <c r="D39" s="37"/>
      <c r="E39" s="37"/>
      <c r="F39" s="37"/>
      <c r="G39" s="37"/>
      <c r="H39" s="37"/>
      <c r="I39" s="37"/>
      <c r="J39" s="37"/>
      <c r="K39" s="37"/>
      <c r="L39" s="37"/>
    </row>
    <row r="40" spans="1:17" s="27" customFormat="1" hidden="1" outlineLevel="1" x14ac:dyDescent="0.2">
      <c r="A40" s="25" t="s">
        <v>269</v>
      </c>
      <c r="B40" s="25"/>
      <c r="C40" s="188" t="str">
        <f t="shared" ref="C40:L40" si="8">IFERROR((C23+C26+C29)/C38,"n.a.")</f>
        <v>n.a.</v>
      </c>
      <c r="D40" s="188" t="str">
        <f t="shared" si="8"/>
        <v>n.a.</v>
      </c>
      <c r="E40" s="188" t="str">
        <f t="shared" si="8"/>
        <v>n.a.</v>
      </c>
      <c r="F40" s="188" t="str">
        <f t="shared" si="8"/>
        <v>n.a.</v>
      </c>
      <c r="G40" s="188" t="str">
        <f t="shared" si="8"/>
        <v>n.a.</v>
      </c>
      <c r="H40" s="188">
        <f t="shared" si="8"/>
        <v>0.81567110376140761</v>
      </c>
      <c r="I40" s="188">
        <f t="shared" si="8"/>
        <v>0.82014250092944785</v>
      </c>
      <c r="J40" s="188" t="str">
        <f t="shared" si="8"/>
        <v>n.a.</v>
      </c>
      <c r="K40" s="188" t="str">
        <f t="shared" si="8"/>
        <v>n.a.</v>
      </c>
      <c r="L40" s="188" t="str">
        <f t="shared" si="8"/>
        <v>n.a.</v>
      </c>
      <c r="M40" s="2"/>
      <c r="N40" s="2"/>
      <c r="O40" s="2"/>
      <c r="P40" s="2"/>
      <c r="Q40" s="2"/>
    </row>
    <row r="41" spans="1:17" s="27" customFormat="1" hidden="1" outlineLevel="1" x14ac:dyDescent="0.2">
      <c r="A41" s="25" t="s">
        <v>270</v>
      </c>
      <c r="B41" s="25"/>
      <c r="C41" s="188" t="str">
        <f t="shared" ref="C41:L41" si="9">IFERROR((C32+C35)/C38,"n.a.")</f>
        <v>n.a.</v>
      </c>
      <c r="D41" s="188" t="str">
        <f t="shared" si="9"/>
        <v>n.a.</v>
      </c>
      <c r="E41" s="188" t="str">
        <f t="shared" si="9"/>
        <v>n.a.</v>
      </c>
      <c r="F41" s="188" t="str">
        <f t="shared" si="9"/>
        <v>n.a.</v>
      </c>
      <c r="G41" s="188" t="str">
        <f t="shared" si="9"/>
        <v>n.a.</v>
      </c>
      <c r="H41" s="188">
        <f t="shared" si="9"/>
        <v>0.18432889623859242</v>
      </c>
      <c r="I41" s="188">
        <f t="shared" si="9"/>
        <v>0.17985749907055221</v>
      </c>
      <c r="J41" s="188" t="str">
        <f t="shared" si="9"/>
        <v>n.a.</v>
      </c>
      <c r="K41" s="188" t="str">
        <f t="shared" si="9"/>
        <v>n.a.</v>
      </c>
      <c r="L41" s="188" t="str">
        <f t="shared" si="9"/>
        <v>n.a.</v>
      </c>
      <c r="M41" s="2"/>
      <c r="N41" s="2"/>
      <c r="O41" s="2"/>
      <c r="P41" s="2"/>
      <c r="Q41" s="2"/>
    </row>
    <row r="42" spans="1:17" hidden="1" outlineLevel="1" x14ac:dyDescent="0.2">
      <c r="C42" s="37"/>
      <c r="D42" s="37"/>
      <c r="E42" s="37"/>
      <c r="F42" s="37"/>
      <c r="G42" s="37"/>
      <c r="H42" s="37"/>
      <c r="I42" s="37"/>
      <c r="J42" s="37"/>
      <c r="K42" s="37"/>
      <c r="L42" s="37"/>
    </row>
    <row r="43" spans="1:17" hidden="1" outlineLevel="1" x14ac:dyDescent="0.2">
      <c r="C43" s="37"/>
      <c r="D43" s="37"/>
      <c r="E43" s="37"/>
      <c r="F43" s="37"/>
      <c r="G43" s="37"/>
      <c r="H43" s="37"/>
      <c r="I43" s="37"/>
      <c r="J43" s="37"/>
      <c r="K43" s="37"/>
      <c r="L43" s="37"/>
    </row>
    <row r="44" spans="1:17" ht="13.5" hidden="1" outlineLevel="1" thickBot="1" x14ac:dyDescent="0.25">
      <c r="A44" s="11" t="s">
        <v>289</v>
      </c>
      <c r="B44" s="11"/>
      <c r="C44" s="13" t="str">
        <f t="shared" ref="C44:I45" si="10">C4</f>
        <v>FY 2014</v>
      </c>
      <c r="D44" s="13" t="str">
        <f t="shared" si="10"/>
        <v>FY 2015</v>
      </c>
      <c r="E44" s="13" t="str">
        <f t="shared" si="10"/>
        <v>FY 2016</v>
      </c>
      <c r="F44" s="13" t="str">
        <f t="shared" si="10"/>
        <v>FY 2016</v>
      </c>
      <c r="G44" s="13" t="str">
        <f t="shared" si="10"/>
        <v>FY 2017</v>
      </c>
      <c r="H44" s="13" t="str">
        <f t="shared" si="10"/>
        <v>FY 2018</v>
      </c>
      <c r="I44" s="13" t="str">
        <f t="shared" si="10"/>
        <v>FY 2019</v>
      </c>
      <c r="J44" s="13" t="str">
        <f t="shared" ref="J44:L45" si="11">J4</f>
        <v>FY 2020</v>
      </c>
      <c r="K44" s="13" t="str">
        <f t="shared" si="11"/>
        <v>FY 2021</v>
      </c>
      <c r="L44" s="13" t="str">
        <f t="shared" si="11"/>
        <v>FY 2022</v>
      </c>
    </row>
    <row r="45" spans="1:17" hidden="1" outlineLevel="1" x14ac:dyDescent="0.2">
      <c r="C45" s="37" t="str">
        <f t="shared" si="10"/>
        <v>carve-out</v>
      </c>
      <c r="D45" s="37" t="str">
        <f t="shared" si="10"/>
        <v>carve-out</v>
      </c>
      <c r="E45" s="37" t="str">
        <f t="shared" si="10"/>
        <v>carve-out</v>
      </c>
      <c r="F45" s="37" t="str">
        <f t="shared" si="10"/>
        <v>restated</v>
      </c>
      <c r="G45" s="37" t="str">
        <f t="shared" si="10"/>
        <v>reported</v>
      </c>
      <c r="H45" s="37" t="str">
        <f t="shared" si="10"/>
        <v>reported</v>
      </c>
      <c r="I45" s="37" t="str">
        <f t="shared" si="10"/>
        <v>reported</v>
      </c>
      <c r="J45" s="37" t="str">
        <f t="shared" si="11"/>
        <v>reported</v>
      </c>
      <c r="K45" s="37" t="str">
        <f t="shared" si="11"/>
        <v>reported</v>
      </c>
      <c r="L45" s="37" t="str">
        <f t="shared" si="11"/>
        <v>reported</v>
      </c>
    </row>
    <row r="46" spans="1:17" hidden="1" outlineLevel="1" x14ac:dyDescent="0.2">
      <c r="C46" s="37"/>
      <c r="D46" s="37"/>
      <c r="E46" s="37"/>
      <c r="F46" s="37"/>
      <c r="G46" s="37"/>
      <c r="H46" s="37"/>
      <c r="I46" s="37"/>
      <c r="J46" s="37"/>
      <c r="K46" s="37"/>
      <c r="L46" s="37"/>
    </row>
    <row r="47" spans="1:17" hidden="1" outlineLevel="1" x14ac:dyDescent="0.2">
      <c r="A47" s="14" t="s">
        <v>36</v>
      </c>
      <c r="B47" s="14"/>
      <c r="C47" s="41">
        <v>1857.146</v>
      </c>
      <c r="D47" s="41">
        <v>2013.3969999999999</v>
      </c>
      <c r="E47" s="41">
        <v>2092.701</v>
      </c>
      <c r="F47" s="41">
        <v>2092.701</v>
      </c>
      <c r="G47" s="41">
        <v>2237.962</v>
      </c>
      <c r="H47" s="41">
        <v>2234.1660000000002</v>
      </c>
      <c r="I47" s="41" t="s">
        <v>228</v>
      </c>
      <c r="J47" s="41" t="s">
        <v>228</v>
      </c>
      <c r="K47" s="41" t="s">
        <v>228</v>
      </c>
      <c r="L47" s="41" t="s">
        <v>228</v>
      </c>
      <c r="M47" s="177"/>
    </row>
    <row r="48" spans="1:17" s="27" customFormat="1" hidden="1" outlineLevel="1" x14ac:dyDescent="0.2">
      <c r="A48" s="25" t="s">
        <v>82</v>
      </c>
      <c r="B48" s="25"/>
      <c r="C48" s="188">
        <f t="shared" ref="C48:H48" si="12">IFERROR(C47/C65,"")</f>
        <v>0.41455030854448927</v>
      </c>
      <c r="D48" s="188">
        <f t="shared" si="12"/>
        <v>0.42073771517807196</v>
      </c>
      <c r="E48" s="188">
        <f t="shared" si="12"/>
        <v>0.42052541638567353</v>
      </c>
      <c r="F48" s="188">
        <f t="shared" si="12"/>
        <v>0.42052541638567353</v>
      </c>
      <c r="G48" s="188">
        <f t="shared" si="12"/>
        <v>0.41813277192730719</v>
      </c>
      <c r="H48" s="188">
        <f t="shared" si="12"/>
        <v>0.43010520430981902</v>
      </c>
      <c r="I48" s="188" t="str">
        <f>IFERROR(I47/I65,"")</f>
        <v/>
      </c>
      <c r="J48" s="188" t="str">
        <f>IFERROR(J47/J65,"")</f>
        <v/>
      </c>
      <c r="K48" s="188" t="str">
        <f>IFERROR(K47/K65,"")</f>
        <v/>
      </c>
      <c r="L48" s="188" t="str">
        <f>IFERROR(L47/L65,"")</f>
        <v/>
      </c>
      <c r="M48" s="2"/>
      <c r="N48" s="2"/>
    </row>
    <row r="49" spans="1:17" hidden="1" outlineLevel="1" x14ac:dyDescent="0.2">
      <c r="C49" s="40"/>
      <c r="D49" s="40"/>
      <c r="E49" s="40"/>
      <c r="F49" s="40"/>
      <c r="G49" s="40"/>
      <c r="H49" s="40"/>
      <c r="I49" s="40"/>
      <c r="J49" s="40"/>
      <c r="K49" s="40"/>
      <c r="L49" s="40"/>
    </row>
    <row r="50" spans="1:17" hidden="1" outlineLevel="1" x14ac:dyDescent="0.2">
      <c r="A50" s="14" t="s">
        <v>37</v>
      </c>
      <c r="B50" s="14"/>
      <c r="C50" s="41">
        <v>678.09699999999998</v>
      </c>
      <c r="D50" s="41">
        <v>833.16399999999999</v>
      </c>
      <c r="E50" s="41">
        <v>934.55899999999997</v>
      </c>
      <c r="F50" s="41">
        <v>934.55899999999997</v>
      </c>
      <c r="G50" s="41">
        <v>983.85900000000004</v>
      </c>
      <c r="H50" s="41">
        <v>1004.026</v>
      </c>
      <c r="I50" s="41" t="s">
        <v>228</v>
      </c>
      <c r="J50" s="41" t="s">
        <v>228</v>
      </c>
      <c r="K50" s="41" t="s">
        <v>228</v>
      </c>
      <c r="L50" s="41" t="s">
        <v>228</v>
      </c>
      <c r="M50" s="177"/>
    </row>
    <row r="51" spans="1:17" s="27" customFormat="1" hidden="1" outlineLevel="1" x14ac:dyDescent="0.2">
      <c r="A51" s="25" t="s">
        <v>83</v>
      </c>
      <c r="B51" s="25"/>
      <c r="C51" s="188">
        <f t="shared" ref="C51:H51" si="13">IFERROR(C50/C65,"")</f>
        <v>0.15136414723080066</v>
      </c>
      <c r="D51" s="188">
        <f t="shared" si="13"/>
        <v>0.17410551308491229</v>
      </c>
      <c r="E51" s="188">
        <f t="shared" si="13"/>
        <v>0.18779835849076321</v>
      </c>
      <c r="F51" s="188">
        <f t="shared" si="13"/>
        <v>0.18779835849076321</v>
      </c>
      <c r="G51" s="188">
        <f t="shared" si="13"/>
        <v>0.18382067740901256</v>
      </c>
      <c r="H51" s="188">
        <f t="shared" si="13"/>
        <v>0.19328770013614491</v>
      </c>
      <c r="I51" s="188" t="str">
        <f>IFERROR(I50/I65,"")</f>
        <v/>
      </c>
      <c r="J51" s="188" t="str">
        <f>IFERROR(J50/J65,"")</f>
        <v/>
      </c>
      <c r="K51" s="188" t="str">
        <f>IFERROR(K50/K65,"")</f>
        <v/>
      </c>
      <c r="L51" s="188" t="str">
        <f>IFERROR(L50/L65,"")</f>
        <v/>
      </c>
      <c r="M51" s="2"/>
      <c r="N51" s="2"/>
      <c r="O51" s="2"/>
      <c r="P51" s="2"/>
      <c r="Q51" s="2"/>
    </row>
    <row r="52" spans="1:17" hidden="1" outlineLevel="1" x14ac:dyDescent="0.2">
      <c r="C52" s="40"/>
      <c r="D52" s="40"/>
      <c r="E52" s="40"/>
      <c r="F52" s="40"/>
      <c r="G52" s="40"/>
      <c r="H52" s="40"/>
      <c r="I52" s="40"/>
      <c r="J52" s="40"/>
      <c r="K52" s="40"/>
      <c r="L52" s="40"/>
    </row>
    <row r="53" spans="1:17" hidden="1" outlineLevel="1" x14ac:dyDescent="0.2">
      <c r="A53" s="14" t="s">
        <v>39</v>
      </c>
      <c r="B53" s="14"/>
      <c r="C53" s="41">
        <v>519.04200000000003</v>
      </c>
      <c r="D53" s="41">
        <v>659.79100000000005</v>
      </c>
      <c r="E53" s="41">
        <v>712.56299999999999</v>
      </c>
      <c r="F53" s="41">
        <v>712.56299999999999</v>
      </c>
      <c r="G53" s="41">
        <v>806.24</v>
      </c>
      <c r="H53" s="41">
        <v>890.24699999999996</v>
      </c>
      <c r="I53" s="41" t="s">
        <v>228</v>
      </c>
      <c r="J53" s="41" t="s">
        <v>228</v>
      </c>
      <c r="K53" s="41" t="s">
        <v>228</v>
      </c>
      <c r="L53" s="41" t="s">
        <v>228</v>
      </c>
      <c r="M53" s="177"/>
    </row>
    <row r="54" spans="1:17" s="27" customFormat="1" hidden="1" outlineLevel="1" x14ac:dyDescent="0.2">
      <c r="A54" s="25" t="s">
        <v>172</v>
      </c>
      <c r="B54" s="25"/>
      <c r="C54" s="188">
        <f t="shared" ref="C54:H54" si="14">IFERROR(C53/C65,"")</f>
        <v>0.11586004613937127</v>
      </c>
      <c r="D54" s="188">
        <f t="shared" si="14"/>
        <v>0.1378759170869209</v>
      </c>
      <c r="E54" s="188">
        <f t="shared" si="14"/>
        <v>0.14318856457564874</v>
      </c>
      <c r="F54" s="188">
        <f t="shared" si="14"/>
        <v>0.14318856457564874</v>
      </c>
      <c r="G54" s="188">
        <f t="shared" si="14"/>
        <v>0.15063498220196417</v>
      </c>
      <c r="H54" s="188">
        <f t="shared" si="14"/>
        <v>0.1713838039882459</v>
      </c>
      <c r="I54" s="188" t="str">
        <f>IFERROR(I53/I65,"")</f>
        <v/>
      </c>
      <c r="J54" s="188" t="str">
        <f>IFERROR(J53/J65,"")</f>
        <v/>
      </c>
      <c r="K54" s="188" t="str">
        <f>IFERROR(K53/K65,"")</f>
        <v/>
      </c>
      <c r="L54" s="188" t="str">
        <f>IFERROR(L53/L65,"")</f>
        <v/>
      </c>
      <c r="M54" s="2"/>
      <c r="N54" s="2"/>
      <c r="O54" s="2"/>
      <c r="P54" s="2"/>
      <c r="Q54" s="2"/>
    </row>
    <row r="55" spans="1:17" hidden="1" outlineLevel="1" x14ac:dyDescent="0.2">
      <c r="C55" s="40"/>
      <c r="D55" s="40"/>
      <c r="E55" s="40"/>
      <c r="F55" s="40"/>
      <c r="G55" s="40"/>
      <c r="H55" s="40"/>
      <c r="I55" s="40"/>
      <c r="J55" s="40"/>
      <c r="K55" s="40"/>
      <c r="L55" s="40"/>
    </row>
    <row r="56" spans="1:17" hidden="1" outlineLevel="1" x14ac:dyDescent="0.2">
      <c r="A56" s="14" t="s">
        <v>38</v>
      </c>
      <c r="B56" s="14"/>
      <c r="C56" s="41">
        <v>1009.134</v>
      </c>
      <c r="D56" s="41">
        <v>867.62800000000004</v>
      </c>
      <c r="E56" s="41">
        <v>824.25199999999995</v>
      </c>
      <c r="F56" s="41">
        <v>824.25199999999995</v>
      </c>
      <c r="G56" s="41">
        <v>915.67700000000002</v>
      </c>
      <c r="H56" s="41">
        <v>691.87400000000002</v>
      </c>
      <c r="I56" s="41" t="s">
        <v>228</v>
      </c>
      <c r="J56" s="41" t="s">
        <v>228</v>
      </c>
      <c r="K56" s="41" t="s">
        <v>228</v>
      </c>
      <c r="L56" s="41" t="s">
        <v>228</v>
      </c>
      <c r="M56" s="177"/>
    </row>
    <row r="57" spans="1:17" s="27" customFormat="1" hidden="1" outlineLevel="1" x14ac:dyDescent="0.2">
      <c r="A57" s="25" t="s">
        <v>84</v>
      </c>
      <c r="B57" s="25"/>
      <c r="C57" s="188">
        <f t="shared" ref="C57:H57" si="15">IFERROR(C56/C65,"")</f>
        <v>0.22525790167425427</v>
      </c>
      <c r="D57" s="188">
        <f t="shared" si="15"/>
        <v>0.18130742339663775</v>
      </c>
      <c r="E57" s="188">
        <f t="shared" si="15"/>
        <v>0.16563231704229325</v>
      </c>
      <c r="F57" s="188">
        <f t="shared" si="15"/>
        <v>0.16563231704229325</v>
      </c>
      <c r="G57" s="188">
        <f t="shared" si="15"/>
        <v>0.17108179772493048</v>
      </c>
      <c r="H57" s="188">
        <f t="shared" si="15"/>
        <v>0.13319449321431429</v>
      </c>
      <c r="I57" s="188" t="str">
        <f>IFERROR(I56/I65,"")</f>
        <v/>
      </c>
      <c r="J57" s="188" t="str">
        <f>IFERROR(J56/J65,"")</f>
        <v/>
      </c>
      <c r="K57" s="188" t="str">
        <f>IFERROR(K56/K65,"")</f>
        <v/>
      </c>
      <c r="L57" s="188" t="str">
        <f>IFERROR(L56/L65,"")</f>
        <v/>
      </c>
      <c r="M57" s="2"/>
      <c r="N57" s="2"/>
      <c r="O57" s="2"/>
      <c r="P57" s="2"/>
      <c r="Q57" s="2"/>
    </row>
    <row r="58" spans="1:17" hidden="1" outlineLevel="1" x14ac:dyDescent="0.2">
      <c r="C58" s="40"/>
      <c r="D58" s="40"/>
      <c r="E58" s="40"/>
      <c r="F58" s="40"/>
      <c r="G58" s="40"/>
      <c r="H58" s="40"/>
      <c r="I58" s="40"/>
      <c r="J58" s="40"/>
      <c r="K58" s="40"/>
      <c r="L58" s="40"/>
    </row>
    <row r="59" spans="1:17" hidden="1" outlineLevel="1" x14ac:dyDescent="0.2">
      <c r="A59" s="14" t="s">
        <v>40</v>
      </c>
      <c r="B59" s="14"/>
      <c r="C59" s="41">
        <v>220.09899999999999</v>
      </c>
      <c r="D59" s="41">
        <v>179.88900000000001</v>
      </c>
      <c r="E59" s="41">
        <v>162.97900000000001</v>
      </c>
      <c r="F59" s="41">
        <v>162.97900000000001</v>
      </c>
      <c r="G59" s="41">
        <v>159.59</v>
      </c>
      <c r="H59" s="41">
        <v>167.00200000000001</v>
      </c>
      <c r="I59" s="41" t="s">
        <v>228</v>
      </c>
      <c r="J59" s="41" t="s">
        <v>228</v>
      </c>
      <c r="K59" s="41" t="s">
        <v>228</v>
      </c>
      <c r="L59" s="41" t="s">
        <v>228</v>
      </c>
      <c r="M59" s="177"/>
    </row>
    <row r="60" spans="1:17" s="27" customFormat="1" hidden="1" outlineLevel="1" x14ac:dyDescent="0.2">
      <c r="A60" s="25" t="s">
        <v>85</v>
      </c>
      <c r="B60" s="25"/>
      <c r="C60" s="188">
        <f t="shared" ref="C60:H60" si="16">IFERROR(C59/C65,"")</f>
        <v>4.9130282896623925E-2</v>
      </c>
      <c r="D60" s="188">
        <f t="shared" si="16"/>
        <v>3.7591238511663717E-2</v>
      </c>
      <c r="E60" s="188">
        <f t="shared" si="16"/>
        <v>3.2750408126684456E-2</v>
      </c>
      <c r="F60" s="188">
        <f t="shared" si="16"/>
        <v>3.2750408126684456E-2</v>
      </c>
      <c r="G60" s="188">
        <f t="shared" si="16"/>
        <v>2.9817221682887803E-2</v>
      </c>
      <c r="H60" s="188">
        <f t="shared" si="16"/>
        <v>3.2149996611777455E-2</v>
      </c>
      <c r="I60" s="188" t="str">
        <f>IFERROR(I59/I65,"")</f>
        <v/>
      </c>
      <c r="J60" s="188" t="str">
        <f>IFERROR(J59/J65,"")</f>
        <v/>
      </c>
      <c r="K60" s="188" t="str">
        <f>IFERROR(K59/K65,"")</f>
        <v/>
      </c>
      <c r="L60" s="188" t="str">
        <f>IFERROR(L59/L65,"")</f>
        <v/>
      </c>
      <c r="M60" s="2"/>
      <c r="N60" s="2"/>
      <c r="O60" s="2"/>
      <c r="P60" s="2"/>
      <c r="Q60" s="2"/>
    </row>
    <row r="61" spans="1:17" hidden="1" outlineLevel="1" x14ac:dyDescent="0.2">
      <c r="C61" s="40"/>
      <c r="D61" s="40"/>
      <c r="E61" s="40"/>
      <c r="F61" s="40"/>
      <c r="G61" s="40"/>
      <c r="H61" s="40"/>
      <c r="I61" s="40"/>
      <c r="J61" s="40"/>
      <c r="K61" s="40"/>
      <c r="L61" s="40"/>
    </row>
    <row r="62" spans="1:17" hidden="1" outlineLevel="1" x14ac:dyDescent="0.2">
      <c r="A62" s="14" t="s">
        <v>41</v>
      </c>
      <c r="B62" s="14"/>
      <c r="C62" s="41">
        <v>196.387</v>
      </c>
      <c r="D62" s="41">
        <v>231.52799999999999</v>
      </c>
      <c r="E62" s="41">
        <v>249.34200000000001</v>
      </c>
      <c r="F62" s="41">
        <v>249.34200000000001</v>
      </c>
      <c r="G62" s="41">
        <v>248.94800000000001</v>
      </c>
      <c r="H62" s="41">
        <v>207.149</v>
      </c>
      <c r="I62" s="41" t="s">
        <v>228</v>
      </c>
      <c r="J62" s="41" t="s">
        <v>228</v>
      </c>
      <c r="K62" s="41" t="s">
        <v>228</v>
      </c>
      <c r="L62" s="41" t="s">
        <v>228</v>
      </c>
      <c r="M62" s="177"/>
    </row>
    <row r="63" spans="1:17" s="27" customFormat="1" hidden="1" outlineLevel="1" x14ac:dyDescent="0.2">
      <c r="A63" s="25" t="s">
        <v>86</v>
      </c>
      <c r="B63" s="25"/>
      <c r="C63" s="188">
        <f t="shared" ref="C63:H63" si="17">IFERROR(C62/C65,"")</f>
        <v>4.3837313514460692E-2</v>
      </c>
      <c r="D63" s="188">
        <f t="shared" si="17"/>
        <v>4.8382192741793416E-2</v>
      </c>
      <c r="E63" s="188">
        <f t="shared" si="17"/>
        <v>5.0104935378936892E-2</v>
      </c>
      <c r="F63" s="188">
        <f t="shared" si="17"/>
        <v>5.0104935378936892E-2</v>
      </c>
      <c r="G63" s="188">
        <f t="shared" si="17"/>
        <v>4.6512549053897824E-2</v>
      </c>
      <c r="H63" s="188">
        <f t="shared" si="17"/>
        <v>3.9878801739698259E-2</v>
      </c>
      <c r="I63" s="188" t="str">
        <f>IFERROR(I62/I65,"")</f>
        <v/>
      </c>
      <c r="J63" s="188" t="str">
        <f>IFERROR(J62/J65,"")</f>
        <v/>
      </c>
      <c r="K63" s="188" t="str">
        <f>IFERROR(K62/K65,"")</f>
        <v/>
      </c>
      <c r="L63" s="188" t="str">
        <f>IFERROR(L62/L65,"")</f>
        <v/>
      </c>
      <c r="M63" s="2"/>
      <c r="N63" s="2"/>
      <c r="O63" s="2"/>
      <c r="P63" s="2"/>
      <c r="Q63" s="2"/>
    </row>
    <row r="64" spans="1:17" hidden="1" outlineLevel="1" x14ac:dyDescent="0.2">
      <c r="C64" s="40"/>
      <c r="D64" s="40"/>
      <c r="E64" s="40"/>
      <c r="F64" s="40"/>
      <c r="G64" s="40"/>
      <c r="H64" s="40"/>
      <c r="I64" s="40"/>
      <c r="J64" s="40"/>
      <c r="K64" s="40"/>
      <c r="L64" s="40"/>
    </row>
    <row r="65" spans="1:22" s="22" customFormat="1" hidden="1" outlineLevel="1" x14ac:dyDescent="0.2">
      <c r="A65" s="99" t="s">
        <v>29</v>
      </c>
      <c r="B65" s="99"/>
      <c r="C65" s="100">
        <f t="shared" ref="C65:L65" si="18">IFERROR(C47+C50+C56+C53+C59+C62,"n.a.")</f>
        <v>4479.9049999999997</v>
      </c>
      <c r="D65" s="100">
        <f t="shared" si="18"/>
        <v>4785.3969999999999</v>
      </c>
      <c r="E65" s="100">
        <f t="shared" si="18"/>
        <v>4976.3959999999997</v>
      </c>
      <c r="F65" s="100">
        <f t="shared" si="18"/>
        <v>4976.3959999999997</v>
      </c>
      <c r="G65" s="100">
        <f t="shared" si="18"/>
        <v>5352.2759999999998</v>
      </c>
      <c r="H65" s="100">
        <f t="shared" si="18"/>
        <v>5194.4640000000009</v>
      </c>
      <c r="I65" s="100" t="str">
        <f t="shared" si="18"/>
        <v>n.a.</v>
      </c>
      <c r="J65" s="100" t="str">
        <f t="shared" si="18"/>
        <v>n.a.</v>
      </c>
      <c r="K65" s="100" t="str">
        <f t="shared" si="18"/>
        <v>n.a.</v>
      </c>
      <c r="L65" s="100" t="str">
        <f t="shared" si="18"/>
        <v>n.a.</v>
      </c>
    </row>
    <row r="66" spans="1:22" hidden="1" outlineLevel="1" x14ac:dyDescent="0.2">
      <c r="C66" s="37"/>
      <c r="D66" s="37"/>
      <c r="E66" s="37"/>
      <c r="F66" s="37"/>
      <c r="G66" s="37"/>
      <c r="H66" s="37"/>
      <c r="I66" s="37"/>
      <c r="J66" s="37"/>
      <c r="K66" s="37"/>
      <c r="L66" s="37"/>
    </row>
    <row r="67" spans="1:22" hidden="1" outlineLevel="1" x14ac:dyDescent="0.2">
      <c r="C67" s="37"/>
      <c r="D67" s="37"/>
      <c r="E67" s="37"/>
      <c r="F67" s="37"/>
      <c r="G67" s="37"/>
      <c r="H67" s="37"/>
      <c r="I67" s="37"/>
      <c r="J67" s="37"/>
      <c r="K67" s="37"/>
      <c r="L67" s="37"/>
    </row>
    <row r="68" spans="1:22" s="27" customFormat="1" hidden="1" outlineLevel="1" x14ac:dyDescent="0.2">
      <c r="A68" s="25" t="s">
        <v>269</v>
      </c>
      <c r="B68" s="25"/>
      <c r="C68" s="188">
        <f t="shared" ref="C68:L68" si="19">IFERROR((C47+C50+C53)/C65,"n.a.")</f>
        <v>0.68177450191466116</v>
      </c>
      <c r="D68" s="188">
        <f t="shared" si="19"/>
        <v>0.73271914534990512</v>
      </c>
      <c r="E68" s="188">
        <f t="shared" si="19"/>
        <v>0.75151233945208551</v>
      </c>
      <c r="F68" s="188">
        <f t="shared" si="19"/>
        <v>0.75151233945208551</v>
      </c>
      <c r="G68" s="188">
        <f t="shared" si="19"/>
        <v>0.75258843153828392</v>
      </c>
      <c r="H68" s="188">
        <f t="shared" si="19"/>
        <v>0.79477670843420989</v>
      </c>
      <c r="I68" s="188" t="str">
        <f t="shared" si="19"/>
        <v>n.a.</v>
      </c>
      <c r="J68" s="188" t="str">
        <f t="shared" si="19"/>
        <v>n.a.</v>
      </c>
      <c r="K68" s="188" t="str">
        <f t="shared" si="19"/>
        <v>n.a.</v>
      </c>
      <c r="L68" s="188" t="str">
        <f t="shared" si="19"/>
        <v>n.a.</v>
      </c>
      <c r="M68" s="2"/>
      <c r="N68" s="2"/>
      <c r="O68" s="2"/>
      <c r="P68" s="2"/>
      <c r="Q68" s="2"/>
    </row>
    <row r="69" spans="1:22" s="27" customFormat="1" hidden="1" outlineLevel="1" x14ac:dyDescent="0.2">
      <c r="A69" s="25" t="s">
        <v>270</v>
      </c>
      <c r="B69" s="25"/>
      <c r="C69" s="188">
        <f t="shared" ref="C69:L69" si="20">IFERROR((C56+C59+C62)/C65,"n.a.")</f>
        <v>0.31822549808533884</v>
      </c>
      <c r="D69" s="188">
        <f t="shared" si="20"/>
        <v>0.26728085465009488</v>
      </c>
      <c r="E69" s="188">
        <f t="shared" si="20"/>
        <v>0.24848766054791463</v>
      </c>
      <c r="F69" s="188">
        <f t="shared" si="20"/>
        <v>0.24848766054791463</v>
      </c>
      <c r="G69" s="188">
        <f t="shared" si="20"/>
        <v>0.24741156846171614</v>
      </c>
      <c r="H69" s="188">
        <f t="shared" si="20"/>
        <v>0.20522329156579003</v>
      </c>
      <c r="I69" s="188" t="str">
        <f t="shared" si="20"/>
        <v>n.a.</v>
      </c>
      <c r="J69" s="188" t="str">
        <f t="shared" si="20"/>
        <v>n.a.</v>
      </c>
      <c r="K69" s="188" t="str">
        <f t="shared" si="20"/>
        <v>n.a.</v>
      </c>
      <c r="L69" s="188" t="str">
        <f t="shared" si="20"/>
        <v>n.a.</v>
      </c>
      <c r="M69" s="2"/>
      <c r="N69" s="2"/>
      <c r="O69" s="2"/>
      <c r="P69" s="2"/>
      <c r="Q69" s="2"/>
    </row>
    <row r="70" spans="1:22" collapsed="1" x14ac:dyDescent="0.2"/>
    <row r="72" spans="1:22" ht="25.5" customHeight="1" x14ac:dyDescent="0.2">
      <c r="A72" s="259" t="s">
        <v>263</v>
      </c>
      <c r="B72" s="259"/>
      <c r="C72" s="259"/>
      <c r="D72" s="259"/>
      <c r="E72" s="259"/>
      <c r="F72" s="259"/>
      <c r="G72" s="259"/>
      <c r="H72" s="259"/>
      <c r="I72" s="259"/>
      <c r="J72" s="259"/>
      <c r="K72" s="259"/>
      <c r="L72" s="259"/>
      <c r="M72" s="59"/>
      <c r="N72" s="59"/>
      <c r="O72" s="59"/>
      <c r="P72" s="59"/>
      <c r="Q72" s="59"/>
      <c r="R72" s="59"/>
      <c r="S72" s="59"/>
      <c r="T72" s="59"/>
      <c r="U72" s="59"/>
      <c r="V72" s="59"/>
    </row>
  </sheetData>
  <mergeCells count="1">
    <mergeCell ref="A72:L72"/>
  </mergeCells>
  <pageMargins left="0" right="0" top="0" bottom="0" header="0" footer="0"/>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pageSetUpPr fitToPage="1"/>
  </sheetPr>
  <dimension ref="A1:BE69"/>
  <sheetViews>
    <sheetView showGridLines="0" zoomScale="79" zoomScaleNormal="100" zoomScaleSheetLayoutView="100" workbookViewId="0">
      <pane xSplit="2" ySplit="6" topLeftCell="C7" activePane="bottomRight" state="frozen"/>
      <selection pane="topRight" activeCell="C1" sqref="C1"/>
      <selection pane="bottomLeft" activeCell="A8" sqref="A8"/>
      <selection pane="bottomRight"/>
    </sheetView>
  </sheetViews>
  <sheetFormatPr defaultColWidth="9" defaultRowHeight="12.75" outlineLevelRow="1" outlineLevelCol="2" x14ac:dyDescent="0.2"/>
  <cols>
    <col min="1" max="1" width="56.875" style="2" customWidth="1"/>
    <col min="2" max="2" width="2.25" style="2" customWidth="1"/>
    <col min="3" max="4" width="9.625" style="2" hidden="1" customWidth="1" outlineLevel="1"/>
    <col min="5" max="5" width="9.625" style="2" hidden="1" customWidth="1" outlineLevel="2"/>
    <col min="6" max="6" width="9.625" style="2" hidden="1" customWidth="1" outlineLevel="1"/>
    <col min="7" max="7" width="9.625" style="2" hidden="1" customWidth="1" outlineLevel="2"/>
    <col min="8" max="8" width="9.625" style="2" hidden="1" customWidth="1" outlineLevel="1"/>
    <col min="9" max="9" width="9.625" style="2" hidden="1" customWidth="1" outlineLevel="2"/>
    <col min="10" max="12" width="9.625" style="2" hidden="1" customWidth="1" outlineLevel="1"/>
    <col min="13" max="13" width="9.625" style="2" hidden="1" customWidth="1" outlineLevel="1" collapsed="1"/>
    <col min="14" max="14" width="9.625" style="2" hidden="1" customWidth="1" outlineLevel="1"/>
    <col min="15" max="15" width="9.625" style="2" hidden="1" customWidth="1" outlineLevel="1" collapsed="1"/>
    <col min="16" max="16" width="9.625" style="2" hidden="1" customWidth="1" outlineLevel="1"/>
    <col min="17" max="17" width="9.625" style="2" hidden="1" customWidth="1" outlineLevel="1" collapsed="1"/>
    <col min="18" max="18" width="9.625" style="2" hidden="1" customWidth="1" outlineLevel="1"/>
    <col min="19" max="19" width="9.625" style="2" hidden="1" customWidth="1" outlineLevel="2"/>
    <col min="20" max="20" width="9.625" style="2" hidden="1" customWidth="1" outlineLevel="1"/>
    <col min="21" max="21" width="9.625" style="2" hidden="1" customWidth="1" outlineLevel="2"/>
    <col min="22" max="25" width="9.625" style="2" hidden="1" customWidth="1" outlineLevel="1"/>
    <col min="26" max="26" width="9.625" style="2" hidden="1" customWidth="1" outlineLevel="2"/>
    <col min="27" max="27" width="9.625" style="2" hidden="1" customWidth="1" outlineLevel="1"/>
    <col min="28" max="28" width="9.625" style="2" hidden="1" customWidth="1" outlineLevel="2"/>
    <col min="29" max="29" width="9.625" style="2" hidden="1" customWidth="1" outlineLevel="1"/>
    <col min="30" max="30" width="9.625" style="2" hidden="1" customWidth="1" outlineLevel="2"/>
    <col min="31" max="31" width="9.625" style="2" customWidth="1" collapsed="1"/>
    <col min="32" max="32" width="9.625" style="2" customWidth="1"/>
    <col min="33" max="33" width="9.625" style="2" hidden="1" customWidth="1" outlineLevel="1"/>
    <col min="34" max="34" width="9.625" style="2" customWidth="1" collapsed="1"/>
    <col min="35" max="35" width="9.625" style="2" hidden="1" customWidth="1" outlineLevel="1"/>
    <col min="36" max="36" width="9.625" style="2" customWidth="1" collapsed="1"/>
    <col min="37" max="37" width="9.625" style="2" hidden="1" customWidth="1" outlineLevel="1"/>
    <col min="38" max="38" width="9.625" style="2" customWidth="1" collapsed="1"/>
    <col min="39" max="39" width="9.625" style="2" customWidth="1"/>
    <col min="40" max="40" width="9.625" style="2" hidden="1" customWidth="1" outlineLevel="1"/>
    <col min="41" max="41" width="9.625" style="2" customWidth="1" collapsed="1"/>
    <col min="42" max="42" width="9.625" style="2" hidden="1" customWidth="1" outlineLevel="1"/>
    <col min="43" max="43" width="9.625" style="2" customWidth="1" collapsed="1"/>
    <col min="44" max="44" width="9.625" style="2" hidden="1" customWidth="1" outlineLevel="1"/>
    <col min="45" max="45" width="9.625" style="2" customWidth="1" collapsed="1"/>
    <col min="46" max="46" width="8.75" style="2" customWidth="1" collapsed="1"/>
    <col min="47" max="47" width="9" style="2" hidden="1" customWidth="1" outlineLevel="1"/>
    <col min="48" max="48" width="9.625" style="2" customWidth="1" collapsed="1"/>
    <col min="49" max="49" width="9.625" style="2" hidden="1" customWidth="1" outlineLevel="1"/>
    <col min="50" max="50" width="9.625" style="2" customWidth="1" collapsed="1"/>
    <col min="51" max="51" width="9.625" style="2" hidden="1" customWidth="1" outlineLevel="1"/>
    <col min="52" max="52" width="9.625" style="2" customWidth="1" collapsed="1"/>
    <col min="53" max="53" width="8.75" style="2" customWidth="1" collapsed="1"/>
    <col min="54" max="54" width="9" style="2" hidden="1" customWidth="1" outlineLevel="1"/>
    <col min="55" max="55" width="9.625" style="2" customWidth="1" collapsed="1"/>
    <col min="56" max="56" width="9.625" style="2" hidden="1" customWidth="1" outlineLevel="1"/>
    <col min="57" max="57" width="9" style="2" collapsed="1"/>
    <col min="58" max="16384" width="9" style="2"/>
  </cols>
  <sheetData>
    <row r="1" spans="1:56" s="8" customFormat="1" ht="27.75" customHeight="1" x14ac:dyDescent="0.2">
      <c r="A1" s="8" t="s">
        <v>340</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V1" s="9"/>
      <c r="AW1" s="9"/>
      <c r="AX1" s="9"/>
      <c r="AY1" s="9"/>
      <c r="AZ1" s="9"/>
      <c r="BC1" s="9"/>
      <c r="BD1" s="9"/>
    </row>
    <row r="2" spans="1:56" x14ac:dyDescent="0.2">
      <c r="A2" s="30" t="s">
        <v>190</v>
      </c>
      <c r="B2" s="10"/>
      <c r="AX2" s="155"/>
      <c r="AY2" s="155"/>
    </row>
    <row r="3" spans="1:56" x14ac:dyDescent="0.2">
      <c r="BA3" s="155"/>
      <c r="BB3" s="155"/>
    </row>
    <row r="4" spans="1:56" ht="13.5" thickBot="1" x14ac:dyDescent="0.25">
      <c r="A4" s="11" t="s">
        <v>42</v>
      </c>
      <c r="B4" s="11"/>
      <c r="C4" s="12"/>
      <c r="D4" s="13"/>
      <c r="E4" s="12"/>
      <c r="F4" s="13"/>
      <c r="G4" s="13"/>
      <c r="H4" s="13"/>
      <c r="I4" s="13" t="s">
        <v>26</v>
      </c>
      <c r="J4" s="13" t="s">
        <v>167</v>
      </c>
      <c r="K4" s="13" t="s">
        <v>166</v>
      </c>
      <c r="L4" s="13" t="s">
        <v>165</v>
      </c>
      <c r="M4" s="13" t="s">
        <v>164</v>
      </c>
      <c r="N4" s="13" t="s">
        <v>122</v>
      </c>
      <c r="O4" s="13" t="s">
        <v>168</v>
      </c>
      <c r="P4" s="13" t="s">
        <v>161</v>
      </c>
      <c r="Q4" s="13" t="s">
        <v>234</v>
      </c>
      <c r="R4" s="171" t="s">
        <v>245</v>
      </c>
      <c r="S4" s="171" t="s">
        <v>248</v>
      </c>
      <c r="T4" s="13" t="s">
        <v>260</v>
      </c>
      <c r="U4" s="13" t="s">
        <v>259</v>
      </c>
      <c r="V4" s="13" t="s">
        <v>262</v>
      </c>
      <c r="W4" s="13" t="s">
        <v>261</v>
      </c>
      <c r="X4" s="13" t="s">
        <v>271</v>
      </c>
      <c r="Y4" s="13" t="s">
        <v>296</v>
      </c>
      <c r="Z4" s="13" t="s">
        <v>297</v>
      </c>
      <c r="AA4" s="13" t="s">
        <v>301</v>
      </c>
      <c r="AB4" s="13" t="s">
        <v>302</v>
      </c>
      <c r="AC4" s="13" t="s">
        <v>304</v>
      </c>
      <c r="AD4" s="13" t="s">
        <v>303</v>
      </c>
      <c r="AE4" s="13" t="s">
        <v>316</v>
      </c>
      <c r="AF4" s="13" t="s">
        <v>322</v>
      </c>
      <c r="AG4" s="13" t="s">
        <v>323</v>
      </c>
      <c r="AH4" s="13" t="s">
        <v>325</v>
      </c>
      <c r="AI4" s="13" t="s">
        <v>326</v>
      </c>
      <c r="AJ4" s="13" t="s">
        <v>328</v>
      </c>
      <c r="AK4" s="13" t="s">
        <v>327</v>
      </c>
      <c r="AL4" s="13" t="s">
        <v>354</v>
      </c>
      <c r="AM4" s="13" t="s">
        <v>359</v>
      </c>
      <c r="AN4" s="13" t="s">
        <v>360</v>
      </c>
      <c r="AO4" s="13" t="s">
        <v>363</v>
      </c>
      <c r="AP4" s="13" t="s">
        <v>364</v>
      </c>
      <c r="AQ4" s="13" t="s">
        <v>366</v>
      </c>
      <c r="AR4" s="13" t="s">
        <v>371</v>
      </c>
      <c r="AS4" s="13" t="s">
        <v>372</v>
      </c>
      <c r="AT4" s="13" t="s">
        <v>378</v>
      </c>
      <c r="AU4" s="13" t="s">
        <v>379</v>
      </c>
      <c r="AV4" s="13" t="s">
        <v>381</v>
      </c>
      <c r="AW4" s="13" t="s">
        <v>382</v>
      </c>
      <c r="AX4" s="13" t="s">
        <v>384</v>
      </c>
      <c r="AY4" s="13" t="s">
        <v>383</v>
      </c>
      <c r="AZ4" s="13" t="s">
        <v>386</v>
      </c>
      <c r="BA4" s="13" t="s">
        <v>387</v>
      </c>
      <c r="BB4" s="13" t="s">
        <v>388</v>
      </c>
      <c r="BC4" s="13" t="s">
        <v>391</v>
      </c>
      <c r="BD4" s="13" t="s">
        <v>392</v>
      </c>
    </row>
    <row r="5" spans="1:56" x14ac:dyDescent="0.2">
      <c r="I5" s="37" t="s">
        <v>189</v>
      </c>
      <c r="J5" s="37" t="s">
        <v>175</v>
      </c>
      <c r="K5" s="37" t="s">
        <v>175</v>
      </c>
      <c r="L5" s="37" t="s">
        <v>175</v>
      </c>
      <c r="M5" s="37" t="s">
        <v>175</v>
      </c>
      <c r="N5" s="37" t="s">
        <v>175</v>
      </c>
      <c r="O5" s="37" t="s">
        <v>175</v>
      </c>
      <c r="P5" s="37" t="s">
        <v>175</v>
      </c>
      <c r="Q5" s="37" t="s">
        <v>175</v>
      </c>
      <c r="R5" s="37" t="s">
        <v>175</v>
      </c>
      <c r="S5" s="37" t="s">
        <v>175</v>
      </c>
      <c r="T5" s="37" t="s">
        <v>175</v>
      </c>
      <c r="U5" s="37" t="s">
        <v>175</v>
      </c>
      <c r="V5" s="37" t="s">
        <v>175</v>
      </c>
      <c r="W5" s="37" t="s">
        <v>175</v>
      </c>
      <c r="X5" s="37" t="s">
        <v>175</v>
      </c>
      <c r="Y5" s="37" t="s">
        <v>175</v>
      </c>
      <c r="Z5" s="37" t="s">
        <v>175</v>
      </c>
      <c r="AA5" s="37" t="s">
        <v>175</v>
      </c>
      <c r="AB5" s="37" t="s">
        <v>175</v>
      </c>
      <c r="AC5" s="37" t="s">
        <v>175</v>
      </c>
      <c r="AD5" s="37" t="s">
        <v>175</v>
      </c>
      <c r="AE5" s="37" t="s">
        <v>175</v>
      </c>
      <c r="AF5" s="37" t="s">
        <v>175</v>
      </c>
      <c r="AG5" s="37" t="s">
        <v>175</v>
      </c>
      <c r="AH5" s="37" t="s">
        <v>175</v>
      </c>
      <c r="AI5" s="37" t="s">
        <v>175</v>
      </c>
      <c r="AJ5" s="37" t="s">
        <v>175</v>
      </c>
      <c r="AK5" s="37" t="s">
        <v>175</v>
      </c>
      <c r="AL5" s="37" t="s">
        <v>175</v>
      </c>
      <c r="AM5" s="37" t="s">
        <v>175</v>
      </c>
      <c r="AN5" s="37" t="s">
        <v>175</v>
      </c>
      <c r="AO5" s="37" t="s">
        <v>175</v>
      </c>
      <c r="AP5" s="37" t="s">
        <v>175</v>
      </c>
      <c r="AQ5" s="37" t="s">
        <v>175</v>
      </c>
      <c r="AR5" s="37" t="s">
        <v>175</v>
      </c>
      <c r="AS5" s="37" t="s">
        <v>175</v>
      </c>
      <c r="AT5" s="37" t="s">
        <v>175</v>
      </c>
      <c r="AU5" s="37" t="s">
        <v>175</v>
      </c>
      <c r="AV5" s="37" t="s">
        <v>175</v>
      </c>
      <c r="AW5" s="37" t="s">
        <v>175</v>
      </c>
      <c r="AX5" s="37" t="s">
        <v>175</v>
      </c>
      <c r="AY5" s="37" t="s">
        <v>175</v>
      </c>
      <c r="AZ5" s="37" t="s">
        <v>175</v>
      </c>
      <c r="BA5" s="37" t="s">
        <v>175</v>
      </c>
      <c r="BB5" s="37" t="s">
        <v>175</v>
      </c>
      <c r="BC5" s="37" t="s">
        <v>175</v>
      </c>
      <c r="BD5" s="37" t="s">
        <v>175</v>
      </c>
    </row>
    <row r="7" spans="1:56" x14ac:dyDescent="0.2">
      <c r="A7" s="14" t="s">
        <v>27</v>
      </c>
      <c r="B7" s="14"/>
      <c r="C7" s="15"/>
      <c r="D7" s="16"/>
      <c r="E7" s="15"/>
      <c r="F7" s="16"/>
      <c r="G7" s="16"/>
      <c r="H7" s="16"/>
      <c r="I7" s="32">
        <f>'Adj. Rev. detail - FY'!F7</f>
        <v>3.5000000000000003E-2</v>
      </c>
      <c r="J7" s="189">
        <v>2.9000000000000001E-2</v>
      </c>
      <c r="K7" s="189">
        <v>-3.0000000000000001E-3</v>
      </c>
      <c r="L7" s="189">
        <v>1.2999999999999999E-2</v>
      </c>
      <c r="M7" s="189">
        <v>0.01</v>
      </c>
      <c r="N7" s="189">
        <v>1.2E-2</v>
      </c>
      <c r="O7" s="189">
        <v>5.0000000000000001E-3</v>
      </c>
      <c r="P7" s="190">
        <f>'Adj. Rev. detail - FY'!G7</f>
        <v>0.01</v>
      </c>
      <c r="Q7" s="189">
        <v>-1.4999999999999999E-2</v>
      </c>
      <c r="R7" s="189">
        <v>-8.9999999999999993E-3</v>
      </c>
      <c r="S7" s="189">
        <v>-1.2E-2</v>
      </c>
      <c r="T7" s="189">
        <v>-0.03</v>
      </c>
      <c r="U7" s="189">
        <v>-1.7999999999999999E-2</v>
      </c>
      <c r="V7" s="189">
        <v>-7.0999999999999994E-2</v>
      </c>
      <c r="W7" s="190">
        <f>'Adj. Rev. detail - FY'!H7</f>
        <v>-3.1E-2</v>
      </c>
      <c r="X7" s="189">
        <v>-6.5000000000000002E-2</v>
      </c>
      <c r="Y7" s="189">
        <v>-3.5000000000000003E-2</v>
      </c>
      <c r="Z7" s="189">
        <v>-0.05</v>
      </c>
      <c r="AA7" s="189">
        <v>6.0000000000000001E-3</v>
      </c>
      <c r="AB7" s="189">
        <v>-3.1E-2</v>
      </c>
      <c r="AC7" s="189">
        <v>1.4999999999999999E-2</v>
      </c>
      <c r="AD7" s="190">
        <f>'Adj. Rev. detail - FY'!I7</f>
        <v>-0.02</v>
      </c>
      <c r="AE7" s="189">
        <v>-0.17199999999999999</v>
      </c>
      <c r="AF7" s="189">
        <v>-0.41599999999999998</v>
      </c>
      <c r="AG7" s="189">
        <v>-0.29499999999999998</v>
      </c>
      <c r="AH7" s="189">
        <v>-3.78E-2</v>
      </c>
      <c r="AI7" s="189">
        <v>-0.20699999999999999</v>
      </c>
      <c r="AJ7" s="189">
        <v>1.0999999999999999E-2</v>
      </c>
      <c r="AK7" s="190">
        <f>'Adj. Rev. detail - FY'!J7</f>
        <v>-0.153</v>
      </c>
      <c r="AL7" s="189">
        <v>0.222</v>
      </c>
      <c r="AM7" s="189">
        <v>0.69899999999999995</v>
      </c>
      <c r="AN7" s="189">
        <v>0.42299999999999999</v>
      </c>
      <c r="AO7" s="189">
        <v>-4.0000000000000001E-3</v>
      </c>
      <c r="AP7" s="189">
        <v>0.247</v>
      </c>
      <c r="AQ7" s="189">
        <v>-7.2999999999999995E-2</v>
      </c>
      <c r="AR7" s="190">
        <f>'Adj. Rev. detail - FY'!K7</f>
        <v>0.157</v>
      </c>
      <c r="AS7" s="189">
        <v>-1.4E-2</v>
      </c>
      <c r="AT7" s="189">
        <v>-6.0000000000000001E-3</v>
      </c>
      <c r="AU7" s="189">
        <v>-0.01</v>
      </c>
      <c r="AV7" s="189">
        <v>1.8021122187878304E-2</v>
      </c>
      <c r="AW7" s="189">
        <v>6.9003489343154596E-5</v>
      </c>
      <c r="AX7" s="189">
        <v>-3.7999999999999999E-2</v>
      </c>
      <c r="AY7" s="190">
        <f>'Adj. Rev. detail - FY'!L7</f>
        <v>-0.01</v>
      </c>
      <c r="AZ7" s="189">
        <v>-3.1E-2</v>
      </c>
      <c r="BA7" s="189">
        <v>-1.1398550197830938E-2</v>
      </c>
      <c r="BB7" s="189">
        <v>-2.078E-2</v>
      </c>
      <c r="BC7" s="189">
        <v>-4.5578416062998825E-2</v>
      </c>
      <c r="BD7" s="189">
        <v>-2.9823559993438487E-2</v>
      </c>
    </row>
    <row r="8" spans="1:56" x14ac:dyDescent="0.2">
      <c r="C8" s="18"/>
      <c r="D8" s="19"/>
      <c r="E8" s="18"/>
      <c r="F8" s="19"/>
      <c r="G8" s="19"/>
      <c r="H8" s="19"/>
      <c r="I8" s="19"/>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row>
    <row r="9" spans="1:56" x14ac:dyDescent="0.2">
      <c r="A9" s="14" t="s">
        <v>28</v>
      </c>
      <c r="B9" s="14"/>
      <c r="C9" s="15"/>
      <c r="D9" s="16"/>
      <c r="E9" s="15"/>
      <c r="F9" s="16"/>
      <c r="G9" s="16"/>
      <c r="H9" s="16"/>
      <c r="I9" s="32">
        <f>'Adj. Rev. detail - FY'!F11</f>
        <v>3.4000000000000002E-2</v>
      </c>
      <c r="J9" s="189">
        <v>5.5E-2</v>
      </c>
      <c r="K9" s="189">
        <v>6.5000000000000002E-2</v>
      </c>
      <c r="L9" s="189">
        <v>5.8999999999999997E-2</v>
      </c>
      <c r="M9" s="189">
        <v>7.2999999999999995E-2</v>
      </c>
      <c r="N9" s="189">
        <v>6.5000000000000002E-2</v>
      </c>
      <c r="O9" s="189">
        <v>7.8E-2</v>
      </c>
      <c r="P9" s="190">
        <f>'Adj. Rev. detail - FY'!G11</f>
        <v>6.9000000000000006E-2</v>
      </c>
      <c r="Q9" s="189">
        <v>7.1999999999999995E-2</v>
      </c>
      <c r="R9" s="189">
        <v>6.2E-2</v>
      </c>
      <c r="S9" s="189">
        <v>6.7000000000000004E-2</v>
      </c>
      <c r="T9" s="189">
        <v>5.5E-2</v>
      </c>
      <c r="U9" s="189">
        <v>6.2E-2</v>
      </c>
      <c r="V9" s="189">
        <v>8.1000000000000003E-2</v>
      </c>
      <c r="W9" s="190">
        <f>'Adj. Rev. detail - FY'!H11</f>
        <v>6.8000000000000005E-2</v>
      </c>
      <c r="X9" s="189">
        <v>7.6999999999999999E-2</v>
      </c>
      <c r="Y9" s="189">
        <v>5.0999999999999997E-2</v>
      </c>
      <c r="Z9" s="189">
        <v>6.4000000000000001E-2</v>
      </c>
      <c r="AA9" s="189">
        <v>3.5000000000000003E-2</v>
      </c>
      <c r="AB9" s="189">
        <v>5.3999999999999999E-2</v>
      </c>
      <c r="AC9" s="189">
        <v>5.0000000000000001E-3</v>
      </c>
      <c r="AD9" s="190">
        <f>'Adj. Rev. detail - FY'!I11</f>
        <v>4.2000000000000003E-2</v>
      </c>
      <c r="AE9" s="189">
        <v>-1.2999999999999999E-2</v>
      </c>
      <c r="AF9" s="189">
        <v>3.3000000000000002E-2</v>
      </c>
      <c r="AG9" s="189">
        <v>0.01</v>
      </c>
      <c r="AH9" s="189">
        <v>2.3099999999999999E-2</v>
      </c>
      <c r="AI9" s="189">
        <v>1.4E-2</v>
      </c>
      <c r="AJ9" s="189">
        <v>6.0000000000000001E-3</v>
      </c>
      <c r="AK9" s="190">
        <f>'Adj. Rev. detail - FY'!J11</f>
        <v>1.2E-2</v>
      </c>
      <c r="AL9" s="189">
        <v>2.3E-2</v>
      </c>
      <c r="AM9" s="189">
        <v>0.04</v>
      </c>
      <c r="AN9" s="189">
        <v>0.03</v>
      </c>
      <c r="AO9" s="189">
        <v>0.109</v>
      </c>
      <c r="AP9" s="189">
        <v>6.3E-2</v>
      </c>
      <c r="AQ9" s="189">
        <v>0.16300000000000001</v>
      </c>
      <c r="AR9" s="190">
        <f>'Adj. Rev. detail - FY'!K11</f>
        <v>9.0999999999999998E-2</v>
      </c>
      <c r="AS9" s="189">
        <v>0.20399999999999999</v>
      </c>
      <c r="AT9" s="189">
        <v>0.20399999999999999</v>
      </c>
      <c r="AU9" s="189">
        <v>0.20399999999999999</v>
      </c>
      <c r="AV9" s="189">
        <v>0.1937642063253788</v>
      </c>
      <c r="AW9" s="189">
        <v>0.20021112262002791</v>
      </c>
      <c r="AX9" s="189">
        <v>0.186</v>
      </c>
      <c r="AY9" s="190">
        <f>'Adj. Rev. detail - FY'!L11</f>
        <v>0.19700000000000001</v>
      </c>
      <c r="AZ9" s="189">
        <v>0.151</v>
      </c>
      <c r="BA9" s="189">
        <v>0.10154127185609332</v>
      </c>
      <c r="BB9" s="189">
        <v>0.12520000000000001</v>
      </c>
      <c r="BC9" s="189">
        <v>6.797667274595158E-2</v>
      </c>
      <c r="BD9" s="189">
        <v>0.1043458966224344</v>
      </c>
    </row>
    <row r="10" spans="1:56" x14ac:dyDescent="0.2">
      <c r="C10" s="18"/>
      <c r="D10" s="19"/>
      <c r="E10" s="18"/>
      <c r="F10" s="19"/>
      <c r="G10" s="19"/>
      <c r="H10" s="19"/>
      <c r="I10" s="19"/>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row>
    <row r="11" spans="1:56" x14ac:dyDescent="0.2">
      <c r="A11" s="20" t="s">
        <v>344</v>
      </c>
      <c r="B11" s="20"/>
      <c r="C11" s="15"/>
      <c r="D11" s="16"/>
      <c r="E11" s="15"/>
      <c r="F11" s="16"/>
      <c r="G11" s="16"/>
      <c r="H11" s="16"/>
      <c r="I11" s="32">
        <f>'Adj. Rev. detail - FY'!F13</f>
        <v>-4.3999999999999997E-2</v>
      </c>
      <c r="J11" s="189">
        <v>0.04</v>
      </c>
      <c r="K11" s="189">
        <v>1.2E-2</v>
      </c>
      <c r="L11" s="189">
        <v>2.5999999999999999E-2</v>
      </c>
      <c r="M11" s="189">
        <v>-3.1E-2</v>
      </c>
      <c r="N11" s="189">
        <v>6.0000000000000001E-3</v>
      </c>
      <c r="O11" s="189">
        <v>-4.4999999999999998E-2</v>
      </c>
      <c r="P11" s="190">
        <f>'Adj. Rev. detail - FY'!G13</f>
        <v>-7.0000000000000001E-3</v>
      </c>
      <c r="Q11" s="189">
        <v>-7.2999999999999995E-2</v>
      </c>
      <c r="R11" s="189">
        <v>-6.6000000000000003E-2</v>
      </c>
      <c r="S11" s="189">
        <v>-6.9000000000000006E-2</v>
      </c>
      <c r="T11" s="189">
        <v>-6.0999999999999999E-2</v>
      </c>
      <c r="U11" s="189">
        <v>-6.6000000000000003E-2</v>
      </c>
      <c r="V11" s="189">
        <v>-3.4000000000000002E-2</v>
      </c>
      <c r="W11" s="190">
        <f>'Adj. Rev. detail - FY'!H13</f>
        <v>-5.8999999999999997E-2</v>
      </c>
      <c r="X11" s="189">
        <v>-8.9999999999999993E-3</v>
      </c>
      <c r="Y11" s="189">
        <v>0</v>
      </c>
      <c r="Z11" s="189">
        <v>-5.0000000000000001E-3</v>
      </c>
      <c r="AA11" s="189">
        <v>2.5999999999999999E-2</v>
      </c>
      <c r="AB11" s="189">
        <v>5.0000000000000001E-3</v>
      </c>
      <c r="AC11" s="189">
        <v>-6.0000000000000001E-3</v>
      </c>
      <c r="AD11" s="190">
        <f>'Adj. Rev. detail - FY'!I13</f>
        <v>3.0000000000000001E-3</v>
      </c>
      <c r="AE11" s="189">
        <v>-1.4999999999999999E-2</v>
      </c>
      <c r="AF11" s="189">
        <v>-4.7E-2</v>
      </c>
      <c r="AG11" s="189">
        <v>-3.1E-2</v>
      </c>
      <c r="AH11" s="189">
        <v>-0.06</v>
      </c>
      <c r="AI11" s="189">
        <v>-4.1000000000000002E-2</v>
      </c>
      <c r="AJ11" s="189">
        <v>-7.8E-2</v>
      </c>
      <c r="AK11" s="190">
        <f>'Adj. Rev. detail - FY'!J13</f>
        <v>-5.0999999999999997E-2</v>
      </c>
      <c r="AL11" s="189">
        <v>-6.0999999999999999E-2</v>
      </c>
      <c r="AM11" s="189">
        <v>-1.2999999999999999E-2</v>
      </c>
      <c r="AN11" s="189">
        <v>-4.1000000000000002E-2</v>
      </c>
      <c r="AO11" s="189">
        <v>2E-3</v>
      </c>
      <c r="AP11" s="189">
        <v>-2.4E-2</v>
      </c>
      <c r="AQ11" s="189">
        <v>2.9000000000000001E-2</v>
      </c>
      <c r="AR11" s="190">
        <f>'Adj. Rev. detail - FY'!K13</f>
        <v>-8.9999999999999993E-3</v>
      </c>
      <c r="AS11" s="189">
        <v>3.2000000000000001E-2</v>
      </c>
      <c r="AT11" s="189">
        <v>7.0999999999999994E-2</v>
      </c>
      <c r="AU11" s="189">
        <v>5.1999999999999998E-2</v>
      </c>
      <c r="AV11" s="189">
        <v>8.6469066187125548E-2</v>
      </c>
      <c r="AW11" s="189">
        <v>6.459971334969189E-2</v>
      </c>
      <c r="AX11" s="189">
        <v>2.1999999999999999E-2</v>
      </c>
      <c r="AY11" s="190">
        <f>'Adj. Rev. detail - FY'!L13</f>
        <v>5.3999999999999999E-2</v>
      </c>
      <c r="AZ11" s="189">
        <v>-3.0000000000000001E-3</v>
      </c>
      <c r="BA11" s="189">
        <v>-5.3505928259158675E-2</v>
      </c>
      <c r="BB11" s="189">
        <v>-2.92E-2</v>
      </c>
      <c r="BC11" s="189">
        <v>-8.4259117786320906E-2</v>
      </c>
      <c r="BD11" s="189">
        <v>-4.9310122990593522E-2</v>
      </c>
    </row>
    <row r="12" spans="1:56" x14ac:dyDescent="0.2">
      <c r="C12" s="18"/>
      <c r="D12" s="19"/>
      <c r="E12" s="18"/>
      <c r="F12" s="19"/>
      <c r="G12" s="19"/>
      <c r="H12" s="19"/>
      <c r="I12" s="19"/>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row>
    <row r="13" spans="1:56" x14ac:dyDescent="0.2">
      <c r="A13" s="169" t="s">
        <v>237</v>
      </c>
      <c r="B13" s="14"/>
      <c r="C13" s="15"/>
      <c r="D13" s="16"/>
      <c r="E13" s="15"/>
      <c r="F13" s="16"/>
      <c r="G13" s="16"/>
      <c r="H13" s="16"/>
      <c r="I13" s="32">
        <f>'Adj. Rev. detail - FY'!F15</f>
        <v>1.4999999999999999E-2</v>
      </c>
      <c r="J13" s="189">
        <v>0.01</v>
      </c>
      <c r="K13" s="189">
        <v>6.0000000000000001E-3</v>
      </c>
      <c r="L13" s="189">
        <v>8.0000000000000002E-3</v>
      </c>
      <c r="M13" s="189">
        <v>6.0000000000000001E-3</v>
      </c>
      <c r="N13" s="189">
        <v>7.0000000000000001E-3</v>
      </c>
      <c r="O13" s="189">
        <v>-3.0000000000000001E-3</v>
      </c>
      <c r="P13" s="190">
        <f>'Adj. Rev. detail - FY'!G15</f>
        <v>4.0000000000000001E-3</v>
      </c>
      <c r="Q13" s="189">
        <v>-6.0000000000000001E-3</v>
      </c>
      <c r="R13" s="189">
        <v>-6.0000000000000001E-3</v>
      </c>
      <c r="S13" s="189">
        <v>-6.0000000000000001E-3</v>
      </c>
      <c r="T13" s="189">
        <v>-7.0000000000000001E-3</v>
      </c>
      <c r="U13" s="189">
        <v>-6.0000000000000001E-3</v>
      </c>
      <c r="V13" s="189">
        <v>-0.01</v>
      </c>
      <c r="W13" s="190">
        <f>'Adj. Rev. detail - FY'!H15</f>
        <v>-7.0000000000000001E-3</v>
      </c>
      <c r="X13" s="189">
        <v>0</v>
      </c>
      <c r="Y13" s="189">
        <v>0</v>
      </c>
      <c r="Z13" s="189">
        <v>0</v>
      </c>
      <c r="AA13" s="189">
        <v>0</v>
      </c>
      <c r="AB13" s="189">
        <v>0</v>
      </c>
      <c r="AC13" s="189">
        <v>0</v>
      </c>
      <c r="AD13" s="190">
        <f>'Adj. Rev. detail - FY'!I15</f>
        <v>0</v>
      </c>
      <c r="AE13" s="189">
        <v>0</v>
      </c>
      <c r="AF13" s="189">
        <v>0</v>
      </c>
      <c r="AG13" s="189">
        <v>0</v>
      </c>
      <c r="AH13" s="189">
        <v>0</v>
      </c>
      <c r="AI13" s="189">
        <v>0</v>
      </c>
      <c r="AJ13" s="189">
        <v>0</v>
      </c>
      <c r="AK13" s="190">
        <f>'Adj. Rev. detail - FY'!J15</f>
        <v>0</v>
      </c>
      <c r="AL13" s="189">
        <v>0</v>
      </c>
      <c r="AM13" s="189">
        <v>0</v>
      </c>
      <c r="AN13" s="189">
        <v>0</v>
      </c>
      <c r="AO13" s="189">
        <v>0</v>
      </c>
      <c r="AP13" s="189">
        <v>0</v>
      </c>
      <c r="AQ13" s="189">
        <v>0</v>
      </c>
      <c r="AR13" s="190">
        <f>'Adj. Rev. detail - FY'!K15</f>
        <v>0</v>
      </c>
      <c r="AS13" s="189">
        <v>0</v>
      </c>
      <c r="AT13" s="189">
        <v>0</v>
      </c>
      <c r="AU13" s="189">
        <v>0</v>
      </c>
      <c r="AV13" s="189">
        <v>0</v>
      </c>
      <c r="AW13" s="189">
        <v>0</v>
      </c>
      <c r="AX13" s="189">
        <v>0</v>
      </c>
      <c r="AY13" s="190">
        <f>'Adj. Rev. detail - FY'!L15</f>
        <v>0</v>
      </c>
      <c r="AZ13" s="189">
        <v>0</v>
      </c>
      <c r="BA13" s="189">
        <v>0</v>
      </c>
      <c r="BB13" s="189">
        <v>0</v>
      </c>
      <c r="BC13" s="189">
        <v>0</v>
      </c>
      <c r="BD13" s="189">
        <v>0</v>
      </c>
    </row>
    <row r="14" spans="1:56" x14ac:dyDescent="0.2">
      <c r="D14" s="21"/>
      <c r="F14" s="21"/>
      <c r="G14" s="21"/>
      <c r="H14" s="21"/>
      <c r="I14" s="21"/>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row>
    <row r="15" spans="1:56" s="22" customFormat="1" x14ac:dyDescent="0.2">
      <c r="A15" s="104" t="s">
        <v>29</v>
      </c>
      <c r="B15" s="104"/>
      <c r="C15" s="104"/>
      <c r="D15" s="105"/>
      <c r="E15" s="104"/>
      <c r="F15" s="105"/>
      <c r="G15" s="105"/>
      <c r="H15" s="105"/>
      <c r="I15" s="105">
        <f t="shared" ref="I15:AZ15" si="0">IFERROR(I7+I9+I11+I13,"n.a.")</f>
        <v>4.0000000000000008E-2</v>
      </c>
      <c r="J15" s="195">
        <f t="shared" si="0"/>
        <v>0.13400000000000001</v>
      </c>
      <c r="K15" s="195">
        <f t="shared" si="0"/>
        <v>0.08</v>
      </c>
      <c r="L15" s="195">
        <f t="shared" si="0"/>
        <v>0.10599999999999998</v>
      </c>
      <c r="M15" s="195">
        <f t="shared" si="0"/>
        <v>5.7999999999999989E-2</v>
      </c>
      <c r="N15" s="195">
        <f t="shared" si="0"/>
        <v>9.0000000000000011E-2</v>
      </c>
      <c r="O15" s="195">
        <f t="shared" si="0"/>
        <v>3.5000000000000003E-2</v>
      </c>
      <c r="P15" s="195">
        <f t="shared" si="0"/>
        <v>7.5999999999999998E-2</v>
      </c>
      <c r="Q15" s="195">
        <f t="shared" si="0"/>
        <v>-2.1999999999999999E-2</v>
      </c>
      <c r="R15" s="195">
        <f t="shared" si="0"/>
        <v>-1.9000000000000003E-2</v>
      </c>
      <c r="S15" s="195">
        <f t="shared" si="0"/>
        <v>-1.9999999999999997E-2</v>
      </c>
      <c r="T15" s="195">
        <f t="shared" si="0"/>
        <v>-4.2999999999999997E-2</v>
      </c>
      <c r="U15" s="195">
        <f t="shared" si="0"/>
        <v>-2.8000000000000004E-2</v>
      </c>
      <c r="V15" s="195">
        <f t="shared" si="0"/>
        <v>-3.3999999999999996E-2</v>
      </c>
      <c r="W15" s="195">
        <f t="shared" si="0"/>
        <v>-2.8999999999999991E-2</v>
      </c>
      <c r="X15" s="195">
        <f t="shared" si="0"/>
        <v>2.9999999999999975E-3</v>
      </c>
      <c r="Y15" s="195">
        <f t="shared" si="0"/>
        <v>1.5999999999999993E-2</v>
      </c>
      <c r="Z15" s="195">
        <f t="shared" si="0"/>
        <v>8.9999999999999976E-3</v>
      </c>
      <c r="AA15" s="195">
        <f t="shared" si="0"/>
        <v>6.7000000000000004E-2</v>
      </c>
      <c r="AB15" s="195">
        <f t="shared" si="0"/>
        <v>2.8000000000000001E-2</v>
      </c>
      <c r="AC15" s="195">
        <f t="shared" si="0"/>
        <v>1.4E-2</v>
      </c>
      <c r="AD15" s="195">
        <f t="shared" si="0"/>
        <v>2.5000000000000001E-2</v>
      </c>
      <c r="AE15" s="195">
        <f t="shared" si="0"/>
        <v>-0.2</v>
      </c>
      <c r="AF15" s="195">
        <f t="shared" si="0"/>
        <v>-0.43</v>
      </c>
      <c r="AG15" s="195">
        <f t="shared" si="0"/>
        <v>-0.31599999999999995</v>
      </c>
      <c r="AH15" s="195">
        <f t="shared" si="0"/>
        <v>-7.4700000000000003E-2</v>
      </c>
      <c r="AI15" s="195">
        <f t="shared" si="0"/>
        <v>-0.23399999999999999</v>
      </c>
      <c r="AJ15" s="195">
        <f t="shared" si="0"/>
        <v>-6.0999999999999999E-2</v>
      </c>
      <c r="AK15" s="195">
        <f t="shared" si="0"/>
        <v>-0.19199999999999998</v>
      </c>
      <c r="AL15" s="195">
        <f t="shared" si="0"/>
        <v>0.184</v>
      </c>
      <c r="AM15" s="195">
        <f t="shared" si="0"/>
        <v>0.72599999999999998</v>
      </c>
      <c r="AN15" s="195">
        <f t="shared" si="0"/>
        <v>0.41199999999999998</v>
      </c>
      <c r="AO15" s="195">
        <f t="shared" si="0"/>
        <v>0.107</v>
      </c>
      <c r="AP15" s="195">
        <f t="shared" si="0"/>
        <v>0.28599999999999998</v>
      </c>
      <c r="AQ15" s="195">
        <f t="shared" si="0"/>
        <v>0.11900000000000001</v>
      </c>
      <c r="AR15" s="195">
        <f t="shared" si="0"/>
        <v>0.23899999999999999</v>
      </c>
      <c r="AS15" s="195">
        <f t="shared" si="0"/>
        <v>0.22199999999999998</v>
      </c>
      <c r="AT15" s="195">
        <f t="shared" si="0"/>
        <v>0.26899999999999996</v>
      </c>
      <c r="AU15" s="195">
        <f t="shared" si="0"/>
        <v>0.24599999999999997</v>
      </c>
      <c r="AV15" s="195">
        <f t="shared" si="0"/>
        <v>0.29825439470038262</v>
      </c>
      <c r="AW15" s="195">
        <f t="shared" si="0"/>
        <v>0.26487983945906296</v>
      </c>
      <c r="AX15" s="195">
        <f t="shared" si="0"/>
        <v>0.16999999999999998</v>
      </c>
      <c r="AY15" s="195">
        <f t="shared" si="0"/>
        <v>0.24099999999999999</v>
      </c>
      <c r="AZ15" s="195">
        <f t="shared" si="0"/>
        <v>0.11699999999999999</v>
      </c>
      <c r="BA15" s="195">
        <f>IFERROR(BA7+BA9+BA11+BA13,"n.a.")</f>
        <v>3.6636793399103709E-2</v>
      </c>
      <c r="BB15" s="195">
        <f>IFERROR(BB7+BB9+BB11+BB13,"n.a.")</f>
        <v>7.5220000000000009E-2</v>
      </c>
      <c r="BC15" s="195">
        <f>IFERROR(BC7+BC9+BC11+BC13,"n.a.")</f>
        <v>-6.186086110336815E-2</v>
      </c>
      <c r="BD15" s="195">
        <f>IFERROR(BD7+BD9+BD11+BD13,"n.a.")</f>
        <v>2.5212213638402398E-2</v>
      </c>
    </row>
    <row r="16" spans="1:56" hidden="1" outlineLevel="1" x14ac:dyDescent="0.2">
      <c r="AT16" s="189"/>
      <c r="BA16" s="189"/>
    </row>
    <row r="17" spans="1:56" hidden="1" outlineLevel="1" x14ac:dyDescent="0.2">
      <c r="AT17" s="191"/>
      <c r="BA17" s="191"/>
    </row>
    <row r="18" spans="1:56" ht="13.5" hidden="1" outlineLevel="1" thickBot="1" x14ac:dyDescent="0.25">
      <c r="A18" s="11" t="s">
        <v>317</v>
      </c>
      <c r="B18" s="11"/>
      <c r="C18" s="13"/>
      <c r="D18" s="13"/>
      <c r="E18" s="13"/>
      <c r="F18" s="13"/>
      <c r="G18" s="13"/>
      <c r="H18" s="13"/>
      <c r="I18" s="13" t="str">
        <f t="shared" ref="I18:AI18" si="1">I4</f>
        <v>FY 2016</v>
      </c>
      <c r="J18" s="13" t="str">
        <f t="shared" si="1"/>
        <v>1Q 2017</v>
      </c>
      <c r="K18" s="13" t="str">
        <f t="shared" si="1"/>
        <v>2Q 2017</v>
      </c>
      <c r="L18" s="13" t="str">
        <f t="shared" si="1"/>
        <v>1H 2017</v>
      </c>
      <c r="M18" s="13" t="str">
        <f t="shared" si="1"/>
        <v>3Q 2017</v>
      </c>
      <c r="N18" s="13" t="str">
        <f t="shared" si="1"/>
        <v>9M 2017</v>
      </c>
      <c r="O18" s="13" t="str">
        <f t="shared" si="1"/>
        <v>4Q 2017</v>
      </c>
      <c r="P18" s="13" t="str">
        <f t="shared" si="1"/>
        <v>FY 2017</v>
      </c>
      <c r="Q18" s="13" t="str">
        <f t="shared" si="1"/>
        <v>1Q 2018</v>
      </c>
      <c r="R18" s="171" t="str">
        <f t="shared" si="1"/>
        <v>2Q 2018</v>
      </c>
      <c r="S18" s="171" t="str">
        <f t="shared" si="1"/>
        <v>1H 2018</v>
      </c>
      <c r="T18" s="13" t="str">
        <f t="shared" si="1"/>
        <v>3Q 2018</v>
      </c>
      <c r="U18" s="13" t="str">
        <f t="shared" si="1"/>
        <v>9M 2018</v>
      </c>
      <c r="V18" s="13" t="str">
        <f t="shared" si="1"/>
        <v>4Q 2018</v>
      </c>
      <c r="W18" s="13" t="str">
        <f t="shared" si="1"/>
        <v>FY 2018</v>
      </c>
      <c r="X18" s="13" t="str">
        <f t="shared" si="1"/>
        <v>1Q 2019</v>
      </c>
      <c r="Y18" s="171" t="str">
        <f t="shared" si="1"/>
        <v>2Q 2019</v>
      </c>
      <c r="Z18" s="171" t="str">
        <f t="shared" si="1"/>
        <v>1H 2019</v>
      </c>
      <c r="AA18" s="13" t="str">
        <f t="shared" si="1"/>
        <v>3Q 2019</v>
      </c>
      <c r="AB18" s="13" t="str">
        <f t="shared" si="1"/>
        <v>9M 2019</v>
      </c>
      <c r="AC18" s="13" t="str">
        <f t="shared" si="1"/>
        <v>4Q 2019</v>
      </c>
      <c r="AD18" s="13" t="str">
        <f t="shared" si="1"/>
        <v>FY 2019</v>
      </c>
      <c r="AE18" s="13" t="str">
        <f t="shared" si="1"/>
        <v>1Q 2020</v>
      </c>
      <c r="AF18" s="171" t="str">
        <f t="shared" si="1"/>
        <v>2Q 2020</v>
      </c>
      <c r="AG18" s="171" t="str">
        <f t="shared" si="1"/>
        <v>1H 2020</v>
      </c>
      <c r="AH18" s="171" t="str">
        <f t="shared" si="1"/>
        <v>3Q 2020</v>
      </c>
      <c r="AI18" s="171" t="str">
        <f t="shared" si="1"/>
        <v>9M 2020</v>
      </c>
      <c r="AJ18" s="223"/>
      <c r="AK18" s="223"/>
      <c r="AL18" s="13" t="str">
        <f t="shared" ref="AL18:AP19" si="2">AL4</f>
        <v>1Q 2021</v>
      </c>
      <c r="AM18" s="171" t="str">
        <f t="shared" si="2"/>
        <v>2Q 2021</v>
      </c>
      <c r="AN18" s="171" t="str">
        <f t="shared" si="2"/>
        <v>1H 2021</v>
      </c>
      <c r="AO18" s="171" t="str">
        <f t="shared" si="2"/>
        <v>3Q 2021</v>
      </c>
      <c r="AP18" s="171" t="str">
        <f t="shared" si="2"/>
        <v>9M 2021</v>
      </c>
      <c r="AQ18" s="223"/>
      <c r="AR18" s="223"/>
      <c r="AS18" s="13" t="str">
        <f>AS4</f>
        <v>1Q 2022</v>
      </c>
      <c r="AT18" s="13" t="str">
        <f>AT4</f>
        <v>2Q 2022</v>
      </c>
      <c r="AU18" s="171" t="s">
        <v>379</v>
      </c>
      <c r="AV18" s="171" t="str">
        <f>AV4</f>
        <v>3Q 2022</v>
      </c>
      <c r="AW18" s="171" t="str">
        <f>AW4</f>
        <v>9M 2022</v>
      </c>
      <c r="AX18" s="223"/>
      <c r="AY18" s="223"/>
      <c r="AZ18" s="13" t="str">
        <f>AZ4</f>
        <v>1Q 2023</v>
      </c>
      <c r="BA18" s="13" t="str">
        <f>BA4</f>
        <v>2Q 2023</v>
      </c>
      <c r="BB18" s="171" t="s">
        <v>379</v>
      </c>
      <c r="BC18" s="13" t="str">
        <f>BC4</f>
        <v>3Q 2023</v>
      </c>
      <c r="BD18" s="13" t="str">
        <f>BD4</f>
        <v>9M 2023</v>
      </c>
    </row>
    <row r="19" spans="1:56" hidden="1" outlineLevel="1" x14ac:dyDescent="0.2">
      <c r="C19" s="37"/>
      <c r="D19" s="37"/>
      <c r="E19" s="37"/>
      <c r="F19" s="37"/>
      <c r="G19" s="37"/>
      <c r="H19" s="37"/>
      <c r="I19" s="37" t="str">
        <f t="shared" ref="I19:AI19" si="3">I5</f>
        <v>restated</v>
      </c>
      <c r="J19" s="37" t="str">
        <f t="shared" si="3"/>
        <v>reported</v>
      </c>
      <c r="K19" s="172" t="str">
        <f t="shared" si="3"/>
        <v>reported</v>
      </c>
      <c r="L19" s="37" t="str">
        <f t="shared" si="3"/>
        <v>reported</v>
      </c>
      <c r="M19" s="172" t="str">
        <f t="shared" si="3"/>
        <v>reported</v>
      </c>
      <c r="N19" s="37" t="str">
        <f t="shared" si="3"/>
        <v>reported</v>
      </c>
      <c r="O19" s="37" t="str">
        <f t="shared" si="3"/>
        <v>reported</v>
      </c>
      <c r="P19" s="37" t="str">
        <f t="shared" si="3"/>
        <v>reported</v>
      </c>
      <c r="Q19" s="37" t="str">
        <f t="shared" si="3"/>
        <v>reported</v>
      </c>
      <c r="R19" s="37" t="str">
        <f t="shared" si="3"/>
        <v>reported</v>
      </c>
      <c r="S19" s="37" t="str">
        <f t="shared" si="3"/>
        <v>reported</v>
      </c>
      <c r="T19" s="37" t="str">
        <f t="shared" si="3"/>
        <v>reported</v>
      </c>
      <c r="U19" s="37" t="str">
        <f t="shared" si="3"/>
        <v>reported</v>
      </c>
      <c r="V19" s="37" t="str">
        <f t="shared" si="3"/>
        <v>reported</v>
      </c>
      <c r="W19" s="37" t="str">
        <f t="shared" si="3"/>
        <v>reported</v>
      </c>
      <c r="X19" s="37" t="str">
        <f t="shared" si="3"/>
        <v>reported</v>
      </c>
      <c r="Y19" s="37" t="str">
        <f t="shared" si="3"/>
        <v>reported</v>
      </c>
      <c r="Z19" s="37" t="str">
        <f t="shared" si="3"/>
        <v>reported</v>
      </c>
      <c r="AA19" s="37" t="str">
        <f t="shared" si="3"/>
        <v>reported</v>
      </c>
      <c r="AB19" s="37" t="str">
        <f t="shared" si="3"/>
        <v>reported</v>
      </c>
      <c r="AC19" s="37" t="str">
        <f t="shared" si="3"/>
        <v>reported</v>
      </c>
      <c r="AD19" s="37" t="str">
        <f t="shared" si="3"/>
        <v>reported</v>
      </c>
      <c r="AE19" s="37" t="str">
        <f t="shared" si="3"/>
        <v>reported</v>
      </c>
      <c r="AF19" s="37" t="str">
        <f t="shared" si="3"/>
        <v>reported</v>
      </c>
      <c r="AG19" s="37" t="str">
        <f t="shared" si="3"/>
        <v>reported</v>
      </c>
      <c r="AH19" s="37" t="str">
        <f t="shared" si="3"/>
        <v>reported</v>
      </c>
      <c r="AI19" s="37" t="str">
        <f t="shared" si="3"/>
        <v>reported</v>
      </c>
      <c r="AJ19" s="37"/>
      <c r="AK19" s="37"/>
      <c r="AL19" s="37" t="str">
        <f t="shared" si="2"/>
        <v>reported</v>
      </c>
      <c r="AM19" s="37" t="str">
        <f t="shared" si="2"/>
        <v>reported</v>
      </c>
      <c r="AN19" s="37" t="str">
        <f t="shared" si="2"/>
        <v>reported</v>
      </c>
      <c r="AO19" s="37" t="str">
        <f t="shared" si="2"/>
        <v>reported</v>
      </c>
      <c r="AP19" s="37" t="str">
        <f t="shared" si="2"/>
        <v>reported</v>
      </c>
      <c r="AQ19" s="37"/>
      <c r="AR19" s="37"/>
      <c r="AS19" s="37" t="str">
        <f>AS5</f>
        <v>reported</v>
      </c>
      <c r="AT19" s="37" t="str">
        <f>AT5</f>
        <v>reported</v>
      </c>
      <c r="AU19" s="37" t="s">
        <v>175</v>
      </c>
      <c r="AV19" s="37" t="str">
        <f>AV5</f>
        <v>reported</v>
      </c>
      <c r="AW19" s="37" t="str">
        <f>AW5</f>
        <v>reported</v>
      </c>
      <c r="AX19" s="37"/>
      <c r="AY19" s="37"/>
      <c r="AZ19" s="37" t="str">
        <f>AZ5</f>
        <v>reported</v>
      </c>
      <c r="BA19" s="37" t="str">
        <f>BA5</f>
        <v>reported</v>
      </c>
      <c r="BB19" s="37" t="s">
        <v>175</v>
      </c>
      <c r="BC19" s="37" t="str">
        <f>BC5</f>
        <v>reported</v>
      </c>
      <c r="BD19" s="37" t="str">
        <f>BD5</f>
        <v>reported</v>
      </c>
    </row>
    <row r="20" spans="1:56" hidden="1" outlineLevel="1" x14ac:dyDescent="0.2"/>
    <row r="21" spans="1:56" hidden="1" outlineLevel="1" x14ac:dyDescent="0.2">
      <c r="A21" s="14" t="s">
        <v>272</v>
      </c>
      <c r="B21" s="23"/>
      <c r="C21" s="86" t="s">
        <v>228</v>
      </c>
      <c r="D21" s="77" t="str">
        <f>IFERROR(E21-C21,"n.a.")</f>
        <v>n.a.</v>
      </c>
      <c r="E21" s="41" t="s">
        <v>228</v>
      </c>
      <c r="F21" s="77" t="str">
        <f>IFERROR(G21-E21,"n.a.")</f>
        <v>n.a.</v>
      </c>
      <c r="G21" s="41" t="s">
        <v>228</v>
      </c>
      <c r="H21" s="77" t="str">
        <f>IFERROR(I21-G21,"n.a.")</f>
        <v>n.a.</v>
      </c>
      <c r="I21" s="52" t="s">
        <v>228</v>
      </c>
      <c r="J21" s="86" t="s">
        <v>228</v>
      </c>
      <c r="K21" s="77" t="str">
        <f>IFERROR(L21-J21,"n.a.")</f>
        <v>n.a.</v>
      </c>
      <c r="L21" s="41" t="s">
        <v>228</v>
      </c>
      <c r="M21" s="77" t="str">
        <f>IFERROR(N21-L21,"n.a.")</f>
        <v>n.a.</v>
      </c>
      <c r="N21" s="41" t="s">
        <v>228</v>
      </c>
      <c r="O21" s="77" t="str">
        <f>IFERROR(P21-N21,"n.a.")</f>
        <v>n.a.</v>
      </c>
      <c r="P21" s="52" t="s">
        <v>228</v>
      </c>
      <c r="Q21" s="86">
        <v>612.53599999999994</v>
      </c>
      <c r="R21" s="77">
        <f>IFERROR(S21-Q21,"n.a.")</f>
        <v>600.27200000000005</v>
      </c>
      <c r="S21" s="41">
        <v>1212.808</v>
      </c>
      <c r="T21" s="77">
        <f>IFERROR(U21-S21,"n.a.")</f>
        <v>588.57300000000009</v>
      </c>
      <c r="U21" s="41">
        <v>1801.3810000000001</v>
      </c>
      <c r="V21" s="77">
        <f>IFERROR(W21-U21,"n.a.")</f>
        <v>527.75499999999988</v>
      </c>
      <c r="W21" s="52">
        <f>'Adj. Rev. detail - FY'!H23</f>
        <v>2329.136</v>
      </c>
      <c r="X21" s="86">
        <v>598.71100000000001</v>
      </c>
      <c r="Y21" s="77">
        <f>IFERROR(Z21-X21,"n.a.")</f>
        <v>568.0150000000001</v>
      </c>
      <c r="Z21" s="41">
        <v>1166.7260000000001</v>
      </c>
      <c r="AA21" s="77">
        <f>IFERROR(AB21-Z21,"n.a.")</f>
        <v>592.14199999999983</v>
      </c>
      <c r="AB21" s="41">
        <v>1758.8679999999999</v>
      </c>
      <c r="AC21" s="77">
        <f>IFERROR(AD21-AB21,"n.a.")</f>
        <v>529.80799999999999</v>
      </c>
      <c r="AD21" s="52">
        <f>'Adj. Rev. detail - FY'!I23</f>
        <v>2288.6759999999999</v>
      </c>
      <c r="AE21" s="86" t="s">
        <v>228</v>
      </c>
      <c r="AF21" s="77" t="str">
        <f>IFERROR(AG21-AE21,"n.a.")</f>
        <v>n.a.</v>
      </c>
      <c r="AG21" s="41" t="s">
        <v>228</v>
      </c>
      <c r="AH21" s="77" t="str">
        <f>IFERROR(AI21-AG21,"n.a.")</f>
        <v>n.a.</v>
      </c>
      <c r="AI21" s="41" t="s">
        <v>228</v>
      </c>
      <c r="AJ21" s="221"/>
      <c r="AK21" s="221"/>
      <c r="AL21" s="228" t="s">
        <v>228</v>
      </c>
      <c r="AM21" s="77" t="str">
        <f>IFERROR(AN21-AL21,"n.a.")</f>
        <v>n.a.</v>
      </c>
      <c r="AN21" s="41" t="s">
        <v>228</v>
      </c>
      <c r="AO21" s="77" t="str">
        <f>IFERROR(AP21-AN21,"n.a.")</f>
        <v>n.a.</v>
      </c>
      <c r="AP21" s="41" t="s">
        <v>228</v>
      </c>
      <c r="AQ21" s="221"/>
      <c r="AR21" s="221"/>
      <c r="AS21" s="228" t="s">
        <v>228</v>
      </c>
      <c r="AT21" s="228" t="str">
        <f>IFERROR(AU21-AS21,"n.a.")</f>
        <v>n.a.</v>
      </c>
      <c r="AU21" s="41" t="s">
        <v>228</v>
      </c>
      <c r="AV21" s="77" t="str">
        <f>IFERROR(AW21-AU21,"n.a.")</f>
        <v>n.a.</v>
      </c>
      <c r="AW21" s="41" t="s">
        <v>228</v>
      </c>
      <c r="AX21" s="221"/>
      <c r="AY21" s="221"/>
      <c r="AZ21" s="228" t="s">
        <v>228</v>
      </c>
      <c r="BA21" s="228" t="str">
        <f>IFERROR(BB21-AZ21,"n.a.")</f>
        <v>n.a.</v>
      </c>
      <c r="BB21" s="41" t="s">
        <v>228</v>
      </c>
      <c r="BC21" s="228" t="s">
        <v>228</v>
      </c>
      <c r="BD21" s="228" t="s">
        <v>228</v>
      </c>
    </row>
    <row r="22" spans="1:56" s="27" customFormat="1" hidden="1" outlineLevel="1" x14ac:dyDescent="0.2">
      <c r="A22" s="25" t="s">
        <v>82</v>
      </c>
      <c r="B22" s="25"/>
      <c r="C22" s="188" t="str">
        <f>IFERROR(C21/C36,"")</f>
        <v/>
      </c>
      <c r="D22" s="188" t="str">
        <f t="shared" ref="D22:X22" si="4">IFERROR(D21/D36,"")</f>
        <v/>
      </c>
      <c r="E22" s="188" t="str">
        <f t="shared" si="4"/>
        <v/>
      </c>
      <c r="F22" s="188" t="str">
        <f t="shared" si="4"/>
        <v/>
      </c>
      <c r="G22" s="188" t="str">
        <f t="shared" si="4"/>
        <v/>
      </c>
      <c r="H22" s="188" t="str">
        <f t="shared" si="4"/>
        <v/>
      </c>
      <c r="I22" s="188" t="str">
        <f t="shared" si="4"/>
        <v/>
      </c>
      <c r="J22" s="188" t="str">
        <f t="shared" si="4"/>
        <v/>
      </c>
      <c r="K22" s="188" t="str">
        <f t="shared" si="4"/>
        <v/>
      </c>
      <c r="L22" s="188" t="str">
        <f t="shared" si="4"/>
        <v/>
      </c>
      <c r="M22" s="188" t="str">
        <f t="shared" si="4"/>
        <v/>
      </c>
      <c r="N22" s="188" t="str">
        <f t="shared" si="4"/>
        <v/>
      </c>
      <c r="O22" s="188" t="str">
        <f t="shared" si="4"/>
        <v/>
      </c>
      <c r="P22" s="188" t="str">
        <f t="shared" si="4"/>
        <v/>
      </c>
      <c r="Q22" s="188">
        <f t="shared" si="4"/>
        <v>0.46747981750660533</v>
      </c>
      <c r="R22" s="188">
        <f t="shared" si="4"/>
        <v>0.45474014664784895</v>
      </c>
      <c r="S22" s="188">
        <f t="shared" si="4"/>
        <v>0.46108639724262418</v>
      </c>
      <c r="T22" s="188">
        <f t="shared" si="4"/>
        <v>0.45451442489240901</v>
      </c>
      <c r="U22" s="188">
        <f t="shared" si="4"/>
        <v>0.45891830281488488</v>
      </c>
      <c r="V22" s="188">
        <f t="shared" si="4"/>
        <v>0.41582065397667323</v>
      </c>
      <c r="W22" s="188">
        <f t="shared" si="4"/>
        <v>0.44838804381201913</v>
      </c>
      <c r="X22" s="188">
        <f t="shared" si="4"/>
        <v>0.45570835201320142</v>
      </c>
      <c r="Y22" s="188">
        <f t="shared" ref="Y22:AE22" si="5">IFERROR(Y21/Y36,"")</f>
        <v>0.42356242384653126</v>
      </c>
      <c r="Z22" s="188">
        <f t="shared" si="5"/>
        <v>0.4394704775608369</v>
      </c>
      <c r="AA22" s="188">
        <f t="shared" si="5"/>
        <v>0.4286104120115321</v>
      </c>
      <c r="AB22" s="188">
        <f t="shared" si="5"/>
        <v>0.43575338719011869</v>
      </c>
      <c r="AC22" s="188">
        <f t="shared" si="5"/>
        <v>0.41176712891971434</v>
      </c>
      <c r="AD22" s="188">
        <f t="shared" si="5"/>
        <v>0.42995551612955946</v>
      </c>
      <c r="AE22" s="188" t="str">
        <f t="shared" si="5"/>
        <v/>
      </c>
      <c r="AF22" s="188" t="str">
        <f>IFERROR(AF21/AF36,"")</f>
        <v/>
      </c>
      <c r="AG22" s="188" t="str">
        <f>IFERROR(AG21/AG36,"")</f>
        <v/>
      </c>
      <c r="AH22" s="188" t="str">
        <f>IFERROR(AH21/AH36,"")</f>
        <v/>
      </c>
      <c r="AI22" s="188" t="str">
        <f>IFERROR(AI21/AI36,"")</f>
        <v/>
      </c>
      <c r="AJ22" s="224"/>
      <c r="AK22" s="224"/>
      <c r="AL22" s="188" t="str">
        <f>IFERROR(AL21/AL36,"")</f>
        <v/>
      </c>
      <c r="AM22" s="188" t="str">
        <f>IFERROR(AM21/AM36,"")</f>
        <v/>
      </c>
      <c r="AN22" s="188" t="str">
        <f>IFERROR(AN21/AN36,"")</f>
        <v/>
      </c>
      <c r="AO22" s="188" t="str">
        <f>IFERROR(AO21/AO36,"")</f>
        <v/>
      </c>
      <c r="AP22" s="188" t="str">
        <f>IFERROR(AP21/AP36,"")</f>
        <v/>
      </c>
      <c r="AQ22" s="224"/>
      <c r="AR22" s="224"/>
      <c r="AS22" s="188" t="str">
        <f>IFERROR(AS21/AS36,"")</f>
        <v/>
      </c>
      <c r="AT22" s="188" t="str">
        <f>IFERROR(AT21/AT36,"")</f>
        <v/>
      </c>
      <c r="AU22" s="188" t="s">
        <v>380</v>
      </c>
      <c r="AV22" s="188" t="str">
        <f>IFERROR(AV21/AV36,"")</f>
        <v/>
      </c>
      <c r="AW22" s="188" t="str">
        <f>IFERROR(AW21/AW36,"")</f>
        <v/>
      </c>
      <c r="AX22" s="224"/>
      <c r="AY22" s="224"/>
      <c r="AZ22" s="188" t="str">
        <f>IFERROR(AZ21/AZ36,"")</f>
        <v/>
      </c>
      <c r="BA22" s="188" t="str">
        <f>IFERROR(BA21/BA36,"")</f>
        <v/>
      </c>
      <c r="BB22" s="188" t="s">
        <v>380</v>
      </c>
      <c r="BC22" s="188" t="str">
        <f>IFERROR(BC21/BC36,"")</f>
        <v/>
      </c>
      <c r="BD22" s="188" t="str">
        <f>IFERROR(BD21/BD36,"")</f>
        <v/>
      </c>
    </row>
    <row r="23" spans="1:56" hidden="1" outlineLevel="1" x14ac:dyDescent="0.2">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row>
    <row r="24" spans="1:56" hidden="1" outlineLevel="1" x14ac:dyDescent="0.2">
      <c r="A24" s="14" t="s">
        <v>273</v>
      </c>
      <c r="B24" s="23"/>
      <c r="C24" s="86" t="s">
        <v>228</v>
      </c>
      <c r="D24" s="77" t="str">
        <f>IFERROR(E24-C24,"n.a.")</f>
        <v>n.a.</v>
      </c>
      <c r="E24" s="41" t="s">
        <v>228</v>
      </c>
      <c r="F24" s="77" t="str">
        <f>IFERROR(G24-E24,"n.a.")</f>
        <v>n.a.</v>
      </c>
      <c r="G24" s="41" t="s">
        <v>228</v>
      </c>
      <c r="H24" s="77" t="str">
        <f>IFERROR(I24-G24,"n.a.")</f>
        <v>n.a.</v>
      </c>
      <c r="I24" s="52" t="s">
        <v>228</v>
      </c>
      <c r="J24" s="86" t="s">
        <v>228</v>
      </c>
      <c r="K24" s="77" t="str">
        <f>IFERROR(L24-J24,"n.a.")</f>
        <v>n.a.</v>
      </c>
      <c r="L24" s="41" t="s">
        <v>228</v>
      </c>
      <c r="M24" s="77" t="str">
        <f>IFERROR(N24-L24,"n.a.")</f>
        <v>n.a.</v>
      </c>
      <c r="N24" s="41" t="s">
        <v>228</v>
      </c>
      <c r="O24" s="77" t="str">
        <f>IFERROR(P24-N24,"n.a.")</f>
        <v>n.a.</v>
      </c>
      <c r="P24" s="52" t="s">
        <v>228</v>
      </c>
      <c r="Q24" s="86">
        <v>243.46799999999999</v>
      </c>
      <c r="R24" s="77">
        <f>IFERROR(S24-Q24,"n.a.")</f>
        <v>243.51900000000003</v>
      </c>
      <c r="S24" s="41">
        <v>486.98700000000002</v>
      </c>
      <c r="T24" s="77">
        <f>IFERROR(U24-S24,"n.a.")</f>
        <v>266.04199999999997</v>
      </c>
      <c r="U24" s="41">
        <v>753.029</v>
      </c>
      <c r="V24" s="77">
        <f>IFERROR(W24-U24,"n.a.")</f>
        <v>250.99800000000005</v>
      </c>
      <c r="W24" s="52">
        <f>'Adj. Rev. detail - FY'!H26</f>
        <v>1004.027</v>
      </c>
      <c r="X24" s="86">
        <v>269.83999999999997</v>
      </c>
      <c r="Y24" s="77">
        <f>IFERROR(Z24-X24,"n.a.")</f>
        <v>274.161</v>
      </c>
      <c r="Z24" s="41">
        <v>544.00099999999998</v>
      </c>
      <c r="AA24" s="77">
        <f>IFERROR(AB24-Z24,"n.a.")</f>
        <v>298.88700000000006</v>
      </c>
      <c r="AB24" s="41">
        <v>842.88800000000003</v>
      </c>
      <c r="AC24" s="77">
        <f>IFERROR(AD24-AB24,"n.a.")</f>
        <v>258.96699999999998</v>
      </c>
      <c r="AD24" s="52">
        <f>'Adj. Rev. detail - FY'!I26</f>
        <v>1101.855</v>
      </c>
      <c r="AE24" s="86" t="s">
        <v>228</v>
      </c>
      <c r="AF24" s="77" t="str">
        <f>IFERROR(AG24-AE24,"n.a.")</f>
        <v>n.a.</v>
      </c>
      <c r="AG24" s="41" t="s">
        <v>228</v>
      </c>
      <c r="AH24" s="77" t="str">
        <f>IFERROR(AI24-AG24,"n.a.")</f>
        <v>n.a.</v>
      </c>
      <c r="AI24" s="41" t="s">
        <v>228</v>
      </c>
      <c r="AJ24" s="221"/>
      <c r="AK24" s="221"/>
      <c r="AL24" s="228" t="s">
        <v>228</v>
      </c>
      <c r="AM24" s="77" t="str">
        <f>IFERROR(AN24-AL24,"n.a.")</f>
        <v>n.a.</v>
      </c>
      <c r="AN24" s="41" t="s">
        <v>228</v>
      </c>
      <c r="AO24" s="77" t="str">
        <f>IFERROR(AP24-AN24,"n.a.")</f>
        <v>n.a.</v>
      </c>
      <c r="AP24" s="41" t="s">
        <v>228</v>
      </c>
      <c r="AQ24" s="221"/>
      <c r="AR24" s="221"/>
      <c r="AS24" s="228" t="s">
        <v>228</v>
      </c>
      <c r="AT24" s="228" t="str">
        <f>IFERROR(AU24-AS24,"n.a.")</f>
        <v>n.a.</v>
      </c>
      <c r="AU24" s="41" t="s">
        <v>228</v>
      </c>
      <c r="AV24" s="77" t="str">
        <f>IFERROR(AW24-AU24,"n.a.")</f>
        <v>n.a.</v>
      </c>
      <c r="AW24" s="41" t="s">
        <v>228</v>
      </c>
      <c r="AX24" s="221"/>
      <c r="AY24" s="221"/>
      <c r="AZ24" s="228" t="s">
        <v>228</v>
      </c>
      <c r="BA24" s="228" t="str">
        <f>IFERROR(BB24-AZ24,"n.a.")</f>
        <v>n.a.</v>
      </c>
      <c r="BB24" s="41" t="s">
        <v>228</v>
      </c>
      <c r="BC24" s="228" t="s">
        <v>228</v>
      </c>
      <c r="BD24" s="228" t="s">
        <v>228</v>
      </c>
    </row>
    <row r="25" spans="1:56" s="27" customFormat="1" hidden="1" outlineLevel="1" x14ac:dyDescent="0.2">
      <c r="A25" s="25" t="s">
        <v>274</v>
      </c>
      <c r="B25" s="25"/>
      <c r="C25" s="188" t="str">
        <f>IFERROR(C24/C36,"")</f>
        <v/>
      </c>
      <c r="D25" s="188" t="str">
        <f t="shared" ref="D25:X25" si="6">IFERROR(D24/D36,"")</f>
        <v/>
      </c>
      <c r="E25" s="188" t="str">
        <f t="shared" si="6"/>
        <v/>
      </c>
      <c r="F25" s="188" t="str">
        <f t="shared" si="6"/>
        <v/>
      </c>
      <c r="G25" s="188" t="str">
        <f t="shared" si="6"/>
        <v/>
      </c>
      <c r="H25" s="188" t="str">
        <f t="shared" si="6"/>
        <v/>
      </c>
      <c r="I25" s="188" t="str">
        <f t="shared" si="6"/>
        <v/>
      </c>
      <c r="J25" s="188" t="str">
        <f t="shared" si="6"/>
        <v/>
      </c>
      <c r="K25" s="188" t="str">
        <f t="shared" si="6"/>
        <v/>
      </c>
      <c r="L25" s="188" t="str">
        <f t="shared" si="6"/>
        <v/>
      </c>
      <c r="M25" s="188" t="str">
        <f t="shared" si="6"/>
        <v/>
      </c>
      <c r="N25" s="188" t="str">
        <f t="shared" si="6"/>
        <v/>
      </c>
      <c r="O25" s="188" t="str">
        <f t="shared" si="6"/>
        <v/>
      </c>
      <c r="P25" s="188" t="str">
        <f t="shared" si="6"/>
        <v/>
      </c>
      <c r="Q25" s="188">
        <f t="shared" si="6"/>
        <v>0.18581173385515004</v>
      </c>
      <c r="R25" s="188">
        <f t="shared" si="6"/>
        <v>0.18447947892211786</v>
      </c>
      <c r="S25" s="188">
        <f t="shared" si="6"/>
        <v>0.18514313999742238</v>
      </c>
      <c r="T25" s="188">
        <f t="shared" si="6"/>
        <v>0.20544592875858431</v>
      </c>
      <c r="U25" s="188">
        <f t="shared" si="6"/>
        <v>0.19184103232486072</v>
      </c>
      <c r="V25" s="188">
        <f t="shared" si="6"/>
        <v>0.19776250818436031</v>
      </c>
      <c r="W25" s="188">
        <f t="shared" si="6"/>
        <v>0.19328785543843302</v>
      </c>
      <c r="X25" s="188">
        <f t="shared" si="6"/>
        <v>0.20538847909465879</v>
      </c>
      <c r="Y25" s="188">
        <f t="shared" ref="Y25:AE25" si="7">IFERROR(Y24/Y36,"")</f>
        <v>0.20443878715208019</v>
      </c>
      <c r="Z25" s="188">
        <f t="shared" si="7"/>
        <v>0.20490876115178097</v>
      </c>
      <c r="AA25" s="188">
        <f t="shared" si="7"/>
        <v>0.21634351256099188</v>
      </c>
      <c r="AB25" s="188">
        <f t="shared" si="7"/>
        <v>0.20882255008443201</v>
      </c>
      <c r="AC25" s="188">
        <f t="shared" si="7"/>
        <v>0.20126932412298731</v>
      </c>
      <c r="AD25" s="188">
        <f t="shared" si="7"/>
        <v>0.20699681179202989</v>
      </c>
      <c r="AE25" s="188" t="str">
        <f t="shared" si="7"/>
        <v/>
      </c>
      <c r="AF25" s="188" t="str">
        <f>IFERROR(AF24/AF36,"")</f>
        <v/>
      </c>
      <c r="AG25" s="188" t="str">
        <f>IFERROR(AG24/AG36,"")</f>
        <v/>
      </c>
      <c r="AH25" s="188" t="str">
        <f>IFERROR(AH24/AH36,"")</f>
        <v/>
      </c>
      <c r="AI25" s="188" t="str">
        <f>IFERROR(AI24/AI36,"")</f>
        <v/>
      </c>
      <c r="AJ25" s="224"/>
      <c r="AK25" s="224"/>
      <c r="AL25" s="188" t="str">
        <f>IFERROR(AL24/AL36,"")</f>
        <v/>
      </c>
      <c r="AM25" s="188" t="str">
        <f>IFERROR(AM24/AM36,"")</f>
        <v/>
      </c>
      <c r="AN25" s="188" t="str">
        <f>IFERROR(AN24/AN36,"")</f>
        <v/>
      </c>
      <c r="AO25" s="188" t="str">
        <f>IFERROR(AO24/AO36,"")</f>
        <v/>
      </c>
      <c r="AP25" s="188" t="str">
        <f>IFERROR(AP24/AP36,"")</f>
        <v/>
      </c>
      <c r="AQ25" s="224"/>
      <c r="AR25" s="224"/>
      <c r="AS25" s="188" t="str">
        <f>IFERROR(AS24/AS36,"")</f>
        <v/>
      </c>
      <c r="AT25" s="188" t="str">
        <f>IFERROR(AT24/AT36,"")</f>
        <v/>
      </c>
      <c r="AU25" s="188" t="s">
        <v>380</v>
      </c>
      <c r="AV25" s="188" t="str">
        <f>IFERROR(AV24/AV36,"")</f>
        <v/>
      </c>
      <c r="AW25" s="188" t="str">
        <f>IFERROR(AW24/AW36,"")</f>
        <v/>
      </c>
      <c r="AX25" s="224"/>
      <c r="AY25" s="224"/>
      <c r="AZ25" s="188" t="str">
        <f>IFERROR(AZ24/AZ36,"")</f>
        <v/>
      </c>
      <c r="BA25" s="188" t="str">
        <f>IFERROR(BA24/BA36,"")</f>
        <v/>
      </c>
      <c r="BB25" s="188" t="s">
        <v>380</v>
      </c>
      <c r="BC25" s="188" t="str">
        <f>IFERROR(BC24/BC36,"")</f>
        <v/>
      </c>
      <c r="BD25" s="188" t="str">
        <f>IFERROR(BD24/BD36,"")</f>
        <v/>
      </c>
    </row>
    <row r="26" spans="1:56" hidden="1" outlineLevel="1" x14ac:dyDescent="0.2">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row>
    <row r="27" spans="1:56" hidden="1" outlineLevel="1" x14ac:dyDescent="0.2">
      <c r="A27" s="14" t="s">
        <v>39</v>
      </c>
      <c r="B27" s="23"/>
      <c r="C27" s="86" t="s">
        <v>228</v>
      </c>
      <c r="D27" s="77" t="str">
        <f>IFERROR(E27-C27,"n.a.")</f>
        <v>n.a.</v>
      </c>
      <c r="E27" s="41" t="s">
        <v>228</v>
      </c>
      <c r="F27" s="77" t="str">
        <f>IFERROR(G27-E27,"n.a.")</f>
        <v>n.a.</v>
      </c>
      <c r="G27" s="41" t="s">
        <v>228</v>
      </c>
      <c r="H27" s="77" t="str">
        <f>IFERROR(I27-G27,"n.a.")</f>
        <v>n.a.</v>
      </c>
      <c r="I27" s="52" t="s">
        <v>228</v>
      </c>
      <c r="J27" s="86" t="s">
        <v>228</v>
      </c>
      <c r="K27" s="77" t="str">
        <f>IFERROR(L27-J27,"n.a.")</f>
        <v>n.a.</v>
      </c>
      <c r="L27" s="41" t="s">
        <v>228</v>
      </c>
      <c r="M27" s="77" t="str">
        <f>IFERROR(N27-L27,"n.a.")</f>
        <v>n.a.</v>
      </c>
      <c r="N27" s="41" t="s">
        <v>228</v>
      </c>
      <c r="O27" s="77" t="str">
        <f>IFERROR(P27-N27,"n.a.")</f>
        <v>n.a.</v>
      </c>
      <c r="P27" s="52" t="s">
        <v>228</v>
      </c>
      <c r="Q27" s="86">
        <v>200.60300000000001</v>
      </c>
      <c r="R27" s="77">
        <f>IFERROR(S27-Q27,"n.a.")</f>
        <v>237.42899999999997</v>
      </c>
      <c r="S27" s="41">
        <v>438.03199999999998</v>
      </c>
      <c r="T27" s="77">
        <f>IFERROR(U27-S27,"n.a.")</f>
        <v>244.59800000000001</v>
      </c>
      <c r="U27" s="41">
        <v>682.63</v>
      </c>
      <c r="V27" s="77">
        <f>IFERROR(W27-U27,"n.a.")</f>
        <v>221.18200000000002</v>
      </c>
      <c r="W27" s="52">
        <f>'Adj. Rev. detail - FY'!H29</f>
        <v>903.81200000000001</v>
      </c>
      <c r="X27" s="86">
        <v>214.22300000000001</v>
      </c>
      <c r="Y27" s="77">
        <f>IFERROR(Z27-X27,"n.a.")</f>
        <v>247.43</v>
      </c>
      <c r="Z27" s="41">
        <v>461.65300000000002</v>
      </c>
      <c r="AA27" s="77">
        <f>IFERROR(AB27-Z27,"n.a.")</f>
        <v>267.50299999999993</v>
      </c>
      <c r="AB27" s="41">
        <v>729.15599999999995</v>
      </c>
      <c r="AC27" s="77">
        <f>IFERROR(AD27-AB27,"n.a.")</f>
        <v>245.97500000000002</v>
      </c>
      <c r="AD27" s="52">
        <f>'Adj. Rev. detail - FY'!I29</f>
        <v>975.13099999999997</v>
      </c>
      <c r="AE27" s="86" t="s">
        <v>228</v>
      </c>
      <c r="AF27" s="77" t="str">
        <f>IFERROR(AG27-AE27,"n.a.")</f>
        <v>n.a.</v>
      </c>
      <c r="AG27" s="41" t="s">
        <v>228</v>
      </c>
      <c r="AH27" s="77" t="str">
        <f>IFERROR(AI27-AG27,"n.a.")</f>
        <v>n.a.</v>
      </c>
      <c r="AI27" s="41" t="s">
        <v>228</v>
      </c>
      <c r="AJ27" s="221"/>
      <c r="AK27" s="221"/>
      <c r="AL27" s="228" t="s">
        <v>228</v>
      </c>
      <c r="AM27" s="77" t="str">
        <f>IFERROR(AN27-AL27,"n.a.")</f>
        <v>n.a.</v>
      </c>
      <c r="AN27" s="41" t="s">
        <v>228</v>
      </c>
      <c r="AO27" s="77" t="str">
        <f>IFERROR(AP27-AN27,"n.a.")</f>
        <v>n.a.</v>
      </c>
      <c r="AP27" s="41" t="s">
        <v>228</v>
      </c>
      <c r="AQ27" s="221"/>
      <c r="AR27" s="221"/>
      <c r="AS27" s="228" t="s">
        <v>228</v>
      </c>
      <c r="AT27" s="228" t="str">
        <f>IFERROR(AU27-AS27,"n.a.")</f>
        <v>n.a.</v>
      </c>
      <c r="AU27" s="41" t="s">
        <v>228</v>
      </c>
      <c r="AV27" s="77" t="str">
        <f>IFERROR(AW27-AU27,"n.a.")</f>
        <v>n.a.</v>
      </c>
      <c r="AW27" s="41" t="s">
        <v>228</v>
      </c>
      <c r="AX27" s="221"/>
      <c r="AY27" s="221"/>
      <c r="AZ27" s="228" t="s">
        <v>228</v>
      </c>
      <c r="BA27" s="228" t="str">
        <f>IFERROR(BB27-AZ27,"n.a.")</f>
        <v>n.a.</v>
      </c>
      <c r="BB27" s="41" t="s">
        <v>228</v>
      </c>
      <c r="BC27" s="228" t="s">
        <v>228</v>
      </c>
      <c r="BD27" s="228" t="s">
        <v>228</v>
      </c>
    </row>
    <row r="28" spans="1:56" s="27" customFormat="1" hidden="1" outlineLevel="1" x14ac:dyDescent="0.2">
      <c r="A28" s="25" t="s">
        <v>172</v>
      </c>
      <c r="B28" s="25"/>
      <c r="C28" s="188" t="str">
        <f>IFERROR(C27/C36,"")</f>
        <v/>
      </c>
      <c r="D28" s="188" t="str">
        <f t="shared" ref="D28:X28" si="8">IFERROR(D27/D36,"")</f>
        <v/>
      </c>
      <c r="E28" s="188" t="str">
        <f t="shared" si="8"/>
        <v/>
      </c>
      <c r="F28" s="188" t="str">
        <f t="shared" si="8"/>
        <v/>
      </c>
      <c r="G28" s="188" t="str">
        <f t="shared" si="8"/>
        <v/>
      </c>
      <c r="H28" s="188" t="str">
        <f t="shared" si="8"/>
        <v/>
      </c>
      <c r="I28" s="188" t="str">
        <f t="shared" si="8"/>
        <v/>
      </c>
      <c r="J28" s="188" t="str">
        <f t="shared" si="8"/>
        <v/>
      </c>
      <c r="K28" s="188" t="str">
        <f t="shared" si="8"/>
        <v/>
      </c>
      <c r="L28" s="188" t="str">
        <f t="shared" si="8"/>
        <v/>
      </c>
      <c r="M28" s="188" t="str">
        <f t="shared" si="8"/>
        <v/>
      </c>
      <c r="N28" s="188" t="str">
        <f t="shared" si="8"/>
        <v/>
      </c>
      <c r="O28" s="188" t="str">
        <f t="shared" si="8"/>
        <v/>
      </c>
      <c r="P28" s="188" t="str">
        <f t="shared" si="8"/>
        <v/>
      </c>
      <c r="Q28" s="188">
        <f t="shared" si="8"/>
        <v>0.15309770173716739</v>
      </c>
      <c r="R28" s="188">
        <f t="shared" si="8"/>
        <v>0.17986595789650708</v>
      </c>
      <c r="S28" s="188">
        <f t="shared" si="8"/>
        <v>0.16653138564140502</v>
      </c>
      <c r="T28" s="188">
        <f t="shared" si="8"/>
        <v>0.18888620324043653</v>
      </c>
      <c r="U28" s="188">
        <f t="shared" si="8"/>
        <v>0.17390624251644982</v>
      </c>
      <c r="V28" s="188">
        <f t="shared" si="8"/>
        <v>0.17427034113910539</v>
      </c>
      <c r="W28" s="188">
        <f t="shared" si="8"/>
        <v>0.1739952045109554</v>
      </c>
      <c r="X28" s="188">
        <f t="shared" si="8"/>
        <v>0.1630556483734624</v>
      </c>
      <c r="Y28" s="188">
        <f t="shared" ref="Y28:AE28" si="9">IFERROR(Y27/Y36,"")</f>
        <v>0.18450577983389033</v>
      </c>
      <c r="Z28" s="188">
        <f t="shared" si="9"/>
        <v>0.1738907544508248</v>
      </c>
      <c r="AA28" s="188">
        <f t="shared" si="9"/>
        <v>0.19362681762874592</v>
      </c>
      <c r="AB28" s="188">
        <f t="shared" si="9"/>
        <v>0.18064584539032955</v>
      </c>
      <c r="AC28" s="188">
        <f t="shared" si="9"/>
        <v>0.19117193310789332</v>
      </c>
      <c r="AD28" s="188">
        <f t="shared" si="9"/>
        <v>0.18319017300785845</v>
      </c>
      <c r="AE28" s="188" t="str">
        <f t="shared" si="9"/>
        <v/>
      </c>
      <c r="AF28" s="188" t="str">
        <f>IFERROR(AF27/AF36,"")</f>
        <v/>
      </c>
      <c r="AG28" s="188" t="str">
        <f>IFERROR(AG27/AG36,"")</f>
        <v/>
      </c>
      <c r="AH28" s="188" t="str">
        <f>IFERROR(AH27/AH36,"")</f>
        <v/>
      </c>
      <c r="AI28" s="188" t="str">
        <f>IFERROR(AI27/AI36,"")</f>
        <v/>
      </c>
      <c r="AJ28" s="224"/>
      <c r="AK28" s="224"/>
      <c r="AL28" s="188" t="str">
        <f>IFERROR(AL27/AL36,"")</f>
        <v/>
      </c>
      <c r="AM28" s="188" t="str">
        <f>IFERROR(AM27/AM36,"")</f>
        <v/>
      </c>
      <c r="AN28" s="188" t="str">
        <f>IFERROR(AN27/AN36,"")</f>
        <v/>
      </c>
      <c r="AO28" s="188" t="str">
        <f>IFERROR(AO27/AO36,"")</f>
        <v/>
      </c>
      <c r="AP28" s="188" t="str">
        <f>IFERROR(AP27/AP36,"")</f>
        <v/>
      </c>
      <c r="AQ28" s="224"/>
      <c r="AR28" s="224"/>
      <c r="AS28" s="188" t="str">
        <f>IFERROR(AS27/AS36,"")</f>
        <v/>
      </c>
      <c r="AT28" s="188" t="str">
        <f>IFERROR(AT27/AT36,"")</f>
        <v/>
      </c>
      <c r="AU28" s="188" t="s">
        <v>380</v>
      </c>
      <c r="AV28" s="188" t="str">
        <f>IFERROR(AV27/AV36,"")</f>
        <v/>
      </c>
      <c r="AW28" s="188" t="str">
        <f>IFERROR(AW27/AW36,"")</f>
        <v/>
      </c>
      <c r="AX28" s="224"/>
      <c r="AY28" s="224"/>
      <c r="AZ28" s="188" t="str">
        <f>IFERROR(AZ27/AZ36,"")</f>
        <v/>
      </c>
      <c r="BA28" s="188" t="str">
        <f>IFERROR(BA27/BA36,"")</f>
        <v/>
      </c>
      <c r="BB28" s="188" t="s">
        <v>380</v>
      </c>
      <c r="BC28" s="188" t="str">
        <f>IFERROR(BC27/BC36,"")</f>
        <v/>
      </c>
      <c r="BD28" s="188" t="str">
        <f>IFERROR(BD27/BD36,"")</f>
        <v/>
      </c>
    </row>
    <row r="29" spans="1:56" hidden="1" outlineLevel="1" x14ac:dyDescent="0.2">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row>
    <row r="30" spans="1:56" hidden="1" outlineLevel="1" x14ac:dyDescent="0.2">
      <c r="A30" s="14" t="s">
        <v>275</v>
      </c>
      <c r="B30" s="23"/>
      <c r="C30" s="86" t="s">
        <v>228</v>
      </c>
      <c r="D30" s="77" t="str">
        <f>IFERROR(E30-C30,"n.a.")</f>
        <v>n.a.</v>
      </c>
      <c r="E30" s="41" t="s">
        <v>228</v>
      </c>
      <c r="F30" s="77" t="str">
        <f>IFERROR(G30-E30,"n.a.")</f>
        <v>n.a.</v>
      </c>
      <c r="G30" s="41" t="s">
        <v>228</v>
      </c>
      <c r="H30" s="77" t="str">
        <f>IFERROR(I30-G30,"n.a.")</f>
        <v>n.a.</v>
      </c>
      <c r="I30" s="52" t="s">
        <v>228</v>
      </c>
      <c r="J30" s="86" t="s">
        <v>228</v>
      </c>
      <c r="K30" s="77" t="str">
        <f>IFERROR(L30-J30,"n.a.")</f>
        <v>n.a.</v>
      </c>
      <c r="L30" s="41" t="s">
        <v>228</v>
      </c>
      <c r="M30" s="77" t="str">
        <f>IFERROR(N30-L30,"n.a.")</f>
        <v>n.a.</v>
      </c>
      <c r="N30" s="41" t="s">
        <v>228</v>
      </c>
      <c r="O30" s="77" t="str">
        <f>IFERROR(P30-N30,"n.a.")</f>
        <v>n.a.</v>
      </c>
      <c r="P30" s="52" t="s">
        <v>228</v>
      </c>
      <c r="Q30" s="86">
        <v>189.297</v>
      </c>
      <c r="R30" s="77">
        <f>IFERROR(S30-Q30,"n.a.")</f>
        <v>165.631</v>
      </c>
      <c r="S30" s="41">
        <v>354.928</v>
      </c>
      <c r="T30" s="77">
        <f>IFERROR(U30-S30,"n.a.")</f>
        <v>144.45600000000002</v>
      </c>
      <c r="U30" s="41">
        <v>499.38400000000001</v>
      </c>
      <c r="V30" s="77">
        <f>IFERROR(W30-U30,"n.a.")</f>
        <v>192.49</v>
      </c>
      <c r="W30" s="52">
        <f>'Adj. Rev. detail - FY'!H32</f>
        <v>691.87400000000002</v>
      </c>
      <c r="X30" s="86">
        <v>167.15299999999999</v>
      </c>
      <c r="Y30" s="77">
        <f>IFERROR(Z30-X30,"n.a.")</f>
        <v>178.07200000000003</v>
      </c>
      <c r="Z30" s="41">
        <v>345.22500000000002</v>
      </c>
      <c r="AA30" s="77">
        <f>IFERROR(AB30-Z30,"n.a.")</f>
        <v>162.83199999999999</v>
      </c>
      <c r="AB30" s="41">
        <v>508.05700000000002</v>
      </c>
      <c r="AC30" s="77">
        <f>IFERROR(AD30-AB30,"n.a.")</f>
        <v>173.93299999999999</v>
      </c>
      <c r="AD30" s="52">
        <f>'Adj. Rev. detail - FY'!I32</f>
        <v>681.99</v>
      </c>
      <c r="AE30" s="86" t="s">
        <v>228</v>
      </c>
      <c r="AF30" s="77" t="str">
        <f>IFERROR(AG30-AE30,"n.a.")</f>
        <v>n.a.</v>
      </c>
      <c r="AG30" s="41" t="s">
        <v>228</v>
      </c>
      <c r="AH30" s="77" t="str">
        <f>IFERROR(AI30-AG30,"n.a.")</f>
        <v>n.a.</v>
      </c>
      <c r="AI30" s="41" t="s">
        <v>228</v>
      </c>
      <c r="AJ30" s="221"/>
      <c r="AK30" s="221"/>
      <c r="AL30" s="228" t="s">
        <v>228</v>
      </c>
      <c r="AM30" s="77" t="str">
        <f>IFERROR(AN30-AL30,"n.a.")</f>
        <v>n.a.</v>
      </c>
      <c r="AN30" s="41" t="s">
        <v>228</v>
      </c>
      <c r="AO30" s="77" t="str">
        <f>IFERROR(AP30-AN30,"n.a.")</f>
        <v>n.a.</v>
      </c>
      <c r="AP30" s="41" t="s">
        <v>228</v>
      </c>
      <c r="AQ30" s="221"/>
      <c r="AR30" s="221"/>
      <c r="AS30" s="228" t="s">
        <v>228</v>
      </c>
      <c r="AT30" s="228" t="str">
        <f>IFERROR(AU30-AS30,"n.a.")</f>
        <v>n.a.</v>
      </c>
      <c r="AU30" s="41" t="s">
        <v>228</v>
      </c>
      <c r="AV30" s="77" t="str">
        <f>IFERROR(AW30-AU30,"n.a.")</f>
        <v>n.a.</v>
      </c>
      <c r="AW30" s="41" t="s">
        <v>228</v>
      </c>
      <c r="AX30" s="221"/>
      <c r="AY30" s="221"/>
      <c r="AZ30" s="228" t="s">
        <v>228</v>
      </c>
      <c r="BA30" s="228" t="str">
        <f>IFERROR(BB30-AZ30,"n.a.")</f>
        <v>n.a.</v>
      </c>
      <c r="BB30" s="41" t="s">
        <v>228</v>
      </c>
      <c r="BC30" s="228" t="s">
        <v>228</v>
      </c>
      <c r="BD30" s="228" t="s">
        <v>228</v>
      </c>
    </row>
    <row r="31" spans="1:56" s="27" customFormat="1" hidden="1" outlineLevel="1" x14ac:dyDescent="0.2">
      <c r="A31" s="25" t="s">
        <v>276</v>
      </c>
      <c r="B31" s="25"/>
      <c r="C31" s="188" t="str">
        <f>IFERROR(C30/C36,"")</f>
        <v/>
      </c>
      <c r="D31" s="188" t="str">
        <f t="shared" ref="D31:X31" si="10">IFERROR(D30/D36,"")</f>
        <v/>
      </c>
      <c r="E31" s="188" t="str">
        <f t="shared" si="10"/>
        <v/>
      </c>
      <c r="F31" s="188" t="str">
        <f t="shared" si="10"/>
        <v/>
      </c>
      <c r="G31" s="188" t="str">
        <f t="shared" si="10"/>
        <v/>
      </c>
      <c r="H31" s="188" t="str">
        <f t="shared" si="10"/>
        <v/>
      </c>
      <c r="I31" s="188" t="str">
        <f t="shared" si="10"/>
        <v/>
      </c>
      <c r="J31" s="188" t="str">
        <f t="shared" si="10"/>
        <v/>
      </c>
      <c r="K31" s="188" t="str">
        <f t="shared" si="10"/>
        <v/>
      </c>
      <c r="L31" s="188" t="str">
        <f t="shared" si="10"/>
        <v/>
      </c>
      <c r="M31" s="188" t="str">
        <f t="shared" si="10"/>
        <v/>
      </c>
      <c r="N31" s="188" t="str">
        <f t="shared" si="10"/>
        <v/>
      </c>
      <c r="O31" s="188" t="str">
        <f t="shared" si="10"/>
        <v/>
      </c>
      <c r="P31" s="188" t="str">
        <f t="shared" si="10"/>
        <v/>
      </c>
      <c r="Q31" s="188">
        <f t="shared" si="10"/>
        <v>0.14446910388050313</v>
      </c>
      <c r="R31" s="188">
        <f t="shared" si="10"/>
        <v>0.12547489343069451</v>
      </c>
      <c r="S31" s="188">
        <f t="shared" si="10"/>
        <v>0.13493683484981145</v>
      </c>
      <c r="T31" s="188">
        <f t="shared" si="10"/>
        <v>0.11155342797283911</v>
      </c>
      <c r="U31" s="188">
        <f t="shared" si="10"/>
        <v>0.12722264625468377</v>
      </c>
      <c r="V31" s="188">
        <f t="shared" si="10"/>
        <v>0.15166377899587849</v>
      </c>
      <c r="W31" s="188">
        <f t="shared" si="10"/>
        <v>0.13319446757269518</v>
      </c>
      <c r="X31" s="188">
        <f t="shared" si="10"/>
        <v>0.12722835919844908</v>
      </c>
      <c r="Y31" s="188">
        <f t="shared" ref="Y31:AE31" si="11">IFERROR(Y30/Y36,"")</f>
        <v>0.1327862960295054</v>
      </c>
      <c r="Z31" s="188">
        <f t="shared" si="11"/>
        <v>0.13003584013379313</v>
      </c>
      <c r="AA31" s="188">
        <f t="shared" si="11"/>
        <v>0.11786276029847877</v>
      </c>
      <c r="AB31" s="188">
        <f t="shared" si="11"/>
        <v>0.12586934246097498</v>
      </c>
      <c r="AC31" s="188">
        <f t="shared" si="11"/>
        <v>0.13518084293629518</v>
      </c>
      <c r="AD31" s="188">
        <f t="shared" si="11"/>
        <v>0.12812008447032183</v>
      </c>
      <c r="AE31" s="188" t="str">
        <f t="shared" si="11"/>
        <v/>
      </c>
      <c r="AF31" s="188" t="str">
        <f>IFERROR(AF30/AF36,"")</f>
        <v/>
      </c>
      <c r="AG31" s="188" t="str">
        <f>IFERROR(AG30/AG36,"")</f>
        <v/>
      </c>
      <c r="AH31" s="188" t="str">
        <f>IFERROR(AH30/AH36,"")</f>
        <v/>
      </c>
      <c r="AI31" s="188" t="str">
        <f>IFERROR(AI30/AI36,"")</f>
        <v/>
      </c>
      <c r="AJ31" s="224"/>
      <c r="AK31" s="224"/>
      <c r="AL31" s="188" t="str">
        <f>IFERROR(AL30/AL36,"")</f>
        <v/>
      </c>
      <c r="AM31" s="188" t="str">
        <f>IFERROR(AM30/AM36,"")</f>
        <v/>
      </c>
      <c r="AN31" s="188" t="str">
        <f>IFERROR(AN30/AN36,"")</f>
        <v/>
      </c>
      <c r="AO31" s="188" t="str">
        <f>IFERROR(AO30/AO36,"")</f>
        <v/>
      </c>
      <c r="AP31" s="188" t="str">
        <f>IFERROR(AP30/AP36,"")</f>
        <v/>
      </c>
      <c r="AQ31" s="224"/>
      <c r="AR31" s="224"/>
      <c r="AS31" s="188" t="str">
        <f>IFERROR(AS30/AS36,"")</f>
        <v/>
      </c>
      <c r="AT31" s="188" t="str">
        <f>IFERROR(AT30/AT36,"")</f>
        <v/>
      </c>
      <c r="AU31" s="188" t="s">
        <v>380</v>
      </c>
      <c r="AV31" s="188" t="str">
        <f>IFERROR(AV30/AV36,"")</f>
        <v/>
      </c>
      <c r="AW31" s="188" t="str">
        <f>IFERROR(AW30/AW36,"")</f>
        <v/>
      </c>
      <c r="AX31" s="224"/>
      <c r="AY31" s="224"/>
      <c r="AZ31" s="188" t="str">
        <f>IFERROR(AZ30/AZ36,"")</f>
        <v/>
      </c>
      <c r="BA31" s="188" t="str">
        <f>IFERROR(BA30/BA36,"")</f>
        <v/>
      </c>
      <c r="BB31" s="188" t="s">
        <v>380</v>
      </c>
      <c r="BC31" s="188" t="str">
        <f>IFERROR(BC30/BC36,"")</f>
        <v/>
      </c>
      <c r="BD31" s="188" t="str">
        <f>IFERROR(BD30/BD36,"")</f>
        <v/>
      </c>
    </row>
    <row r="32" spans="1:56" hidden="1" outlineLevel="1" x14ac:dyDescent="0.2">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row>
    <row r="33" spans="1:56" hidden="1" outlineLevel="1" x14ac:dyDescent="0.2">
      <c r="A33" s="14" t="s">
        <v>277</v>
      </c>
      <c r="B33" s="23"/>
      <c r="C33" s="86" t="s">
        <v>228</v>
      </c>
      <c r="D33" s="77" t="str">
        <f>IFERROR(E33-C33,"n.a.")</f>
        <v>n.a.</v>
      </c>
      <c r="E33" s="41" t="s">
        <v>228</v>
      </c>
      <c r="F33" s="77" t="str">
        <f>IFERROR(G33-E33,"n.a.")</f>
        <v>n.a.</v>
      </c>
      <c r="G33" s="41" t="s">
        <v>228</v>
      </c>
      <c r="H33" s="77" t="str">
        <f>IFERROR(I33-G33,"n.a.")</f>
        <v>n.a.</v>
      </c>
      <c r="I33" s="52" t="s">
        <v>228</v>
      </c>
      <c r="J33" s="86" t="s">
        <v>228</v>
      </c>
      <c r="K33" s="77" t="str">
        <f>IFERROR(L33-J33,"n.a.")</f>
        <v>n.a.</v>
      </c>
      <c r="L33" s="41" t="s">
        <v>228</v>
      </c>
      <c r="M33" s="77" t="str">
        <f>IFERROR(N33-L33,"n.a.")</f>
        <v>n.a.</v>
      </c>
      <c r="N33" s="41" t="s">
        <v>228</v>
      </c>
      <c r="O33" s="77" t="str">
        <f>IFERROR(P33-N33,"n.a.")</f>
        <v>n.a.</v>
      </c>
      <c r="P33" s="52" t="s">
        <v>228</v>
      </c>
      <c r="Q33" s="86">
        <v>64.39</v>
      </c>
      <c r="R33" s="77">
        <f>IFERROR(S33-Q33,"n.a.")</f>
        <v>73.182000000000002</v>
      </c>
      <c r="S33" s="41">
        <v>137.572</v>
      </c>
      <c r="T33" s="77">
        <f>IFERROR(U33-S33,"n.a.")</f>
        <v>51.28</v>
      </c>
      <c r="U33" s="41">
        <v>188.852</v>
      </c>
      <c r="V33" s="77">
        <f>IFERROR(W33-U33,"n.a.")</f>
        <v>76.763999999999982</v>
      </c>
      <c r="W33" s="52">
        <f>'Adj. Rev. detail - FY'!H35</f>
        <v>265.61599999999999</v>
      </c>
      <c r="X33" s="86">
        <v>63.875999999999998</v>
      </c>
      <c r="Y33" s="77">
        <f>IFERROR(Z33-X33,"n.a.")</f>
        <v>73.364000000000004</v>
      </c>
      <c r="Z33" s="41">
        <v>137.24</v>
      </c>
      <c r="AA33" s="77">
        <f>IFERROR(AB33-Z33,"n.a.")</f>
        <v>60.174999999999983</v>
      </c>
      <c r="AB33" s="41">
        <v>197.41499999999999</v>
      </c>
      <c r="AC33" s="77">
        <f>IFERROR(AD33-AB33,"n.a.")</f>
        <v>77.986000000000018</v>
      </c>
      <c r="AD33" s="52">
        <f>'Adj. Rev. detail - FY'!I35</f>
        <v>275.40100000000001</v>
      </c>
      <c r="AE33" s="86" t="s">
        <v>228</v>
      </c>
      <c r="AF33" s="77" t="str">
        <f>IFERROR(AG33-AE33,"n.a.")</f>
        <v>n.a.</v>
      </c>
      <c r="AG33" s="41" t="s">
        <v>228</v>
      </c>
      <c r="AH33" s="77" t="str">
        <f>IFERROR(AI33-AG33,"n.a.")</f>
        <v>n.a.</v>
      </c>
      <c r="AI33" s="41" t="s">
        <v>228</v>
      </c>
      <c r="AJ33" s="221"/>
      <c r="AK33" s="221"/>
      <c r="AL33" s="228" t="s">
        <v>228</v>
      </c>
      <c r="AM33" s="77" t="str">
        <f>IFERROR(AN33-AL33,"n.a.")</f>
        <v>n.a.</v>
      </c>
      <c r="AN33" s="41" t="s">
        <v>228</v>
      </c>
      <c r="AO33" s="77" t="str">
        <f>IFERROR(AP33-AN33,"n.a.")</f>
        <v>n.a.</v>
      </c>
      <c r="AP33" s="41" t="s">
        <v>228</v>
      </c>
      <c r="AQ33" s="221"/>
      <c r="AR33" s="221"/>
      <c r="AS33" s="228" t="s">
        <v>228</v>
      </c>
      <c r="AT33" s="228" t="str">
        <f>IFERROR(AU33-AS33,"n.a.")</f>
        <v>n.a.</v>
      </c>
      <c r="AU33" s="41" t="s">
        <v>228</v>
      </c>
      <c r="AV33" s="77" t="str">
        <f>IFERROR(AW33-AU33,"n.a.")</f>
        <v>n.a.</v>
      </c>
      <c r="AW33" s="41" t="s">
        <v>228</v>
      </c>
      <c r="AX33" s="221"/>
      <c r="AY33" s="221"/>
      <c r="AZ33" s="228" t="s">
        <v>228</v>
      </c>
      <c r="BA33" s="228" t="str">
        <f>IFERROR(BB33-AZ33,"n.a.")</f>
        <v>n.a.</v>
      </c>
      <c r="BB33" s="41" t="s">
        <v>228</v>
      </c>
      <c r="BC33" s="228" t="s">
        <v>228</v>
      </c>
      <c r="BD33" s="228" t="s">
        <v>228</v>
      </c>
    </row>
    <row r="34" spans="1:56" s="27" customFormat="1" hidden="1" outlineLevel="1" x14ac:dyDescent="0.2">
      <c r="A34" s="25" t="s">
        <v>278</v>
      </c>
      <c r="B34" s="25"/>
      <c r="C34" s="188" t="str">
        <f>IFERROR(C33/C36,"")</f>
        <v/>
      </c>
      <c r="D34" s="188" t="str">
        <f t="shared" ref="D34:X34" si="12">IFERROR(D33/D36,"")</f>
        <v/>
      </c>
      <c r="E34" s="188" t="str">
        <f t="shared" si="12"/>
        <v/>
      </c>
      <c r="F34" s="188" t="str">
        <f t="shared" si="12"/>
        <v/>
      </c>
      <c r="G34" s="188" t="str">
        <f t="shared" si="12"/>
        <v/>
      </c>
      <c r="H34" s="188" t="str">
        <f t="shared" si="12"/>
        <v/>
      </c>
      <c r="I34" s="188" t="str">
        <f t="shared" si="12"/>
        <v/>
      </c>
      <c r="J34" s="188" t="str">
        <f t="shared" si="12"/>
        <v/>
      </c>
      <c r="K34" s="188" t="str">
        <f t="shared" si="12"/>
        <v/>
      </c>
      <c r="L34" s="188" t="str">
        <f t="shared" si="12"/>
        <v/>
      </c>
      <c r="M34" s="188" t="str">
        <f t="shared" si="12"/>
        <v/>
      </c>
      <c r="N34" s="188" t="str">
        <f t="shared" si="12"/>
        <v/>
      </c>
      <c r="O34" s="188" t="str">
        <f t="shared" si="12"/>
        <v/>
      </c>
      <c r="P34" s="188" t="str">
        <f t="shared" si="12"/>
        <v/>
      </c>
      <c r="Q34" s="188">
        <f t="shared" si="12"/>
        <v>4.9141643020574007E-2</v>
      </c>
      <c r="R34" s="188">
        <f t="shared" si="12"/>
        <v>5.5439523102831519E-2</v>
      </c>
      <c r="S34" s="188">
        <f t="shared" si="12"/>
        <v>5.2302242268736927E-2</v>
      </c>
      <c r="T34" s="188">
        <f t="shared" si="12"/>
        <v>3.960001513573122E-2</v>
      </c>
      <c r="U34" s="188">
        <f t="shared" si="12"/>
        <v>4.8111776089120872E-2</v>
      </c>
      <c r="V34" s="188">
        <f t="shared" si="12"/>
        <v>6.0482717703982614E-2</v>
      </c>
      <c r="W34" s="188">
        <f t="shared" si="12"/>
        <v>5.1134428665897257E-2</v>
      </c>
      <c r="X34" s="188">
        <f t="shared" si="12"/>
        <v>4.861916132022838E-2</v>
      </c>
      <c r="Y34" s="188">
        <f t="shared" ref="Y34:AE34" si="13">IFERROR(Y33/Y36,"")</f>
        <v>5.4706713137992684E-2</v>
      </c>
      <c r="Z34" s="188">
        <f t="shared" si="13"/>
        <v>5.1694166702764187E-2</v>
      </c>
      <c r="AA34" s="188">
        <f t="shared" si="13"/>
        <v>4.3556497500251534E-2</v>
      </c>
      <c r="AB34" s="188">
        <f t="shared" si="13"/>
        <v>4.8908874874144775E-2</v>
      </c>
      <c r="AC34" s="188">
        <f t="shared" si="13"/>
        <v>6.0610770913109756E-2</v>
      </c>
      <c r="AD34" s="188">
        <f t="shared" si="13"/>
        <v>5.1737414600230361E-2</v>
      </c>
      <c r="AE34" s="188" t="str">
        <f t="shared" si="13"/>
        <v/>
      </c>
      <c r="AF34" s="188" t="str">
        <f>IFERROR(AF33/AF36,"")</f>
        <v/>
      </c>
      <c r="AG34" s="188" t="str">
        <f>IFERROR(AG33/AG36,"")</f>
        <v/>
      </c>
      <c r="AH34" s="188" t="str">
        <f>IFERROR(AH33/AH36,"")</f>
        <v/>
      </c>
      <c r="AI34" s="188" t="str">
        <f>IFERROR(AI33/AI36,"")</f>
        <v/>
      </c>
      <c r="AJ34" s="224"/>
      <c r="AK34" s="224"/>
      <c r="AL34" s="188" t="str">
        <f>IFERROR(AL33/AL36,"")</f>
        <v/>
      </c>
      <c r="AM34" s="188" t="str">
        <f>IFERROR(AM33/AM36,"")</f>
        <v/>
      </c>
      <c r="AN34" s="188" t="str">
        <f>IFERROR(AN33/AN36,"")</f>
        <v/>
      </c>
      <c r="AO34" s="188" t="str">
        <f>IFERROR(AO33/AO36,"")</f>
        <v/>
      </c>
      <c r="AP34" s="188" t="str">
        <f>IFERROR(AP33/AP36,"")</f>
        <v/>
      </c>
      <c r="AQ34" s="224"/>
      <c r="AR34" s="224"/>
      <c r="AS34" s="188" t="str">
        <f>IFERROR(AS33/AS36,"")</f>
        <v/>
      </c>
      <c r="AT34" s="188" t="str">
        <f>IFERROR(AT33/AT36,"")</f>
        <v/>
      </c>
      <c r="AU34" s="188" t="s">
        <v>380</v>
      </c>
      <c r="AV34" s="188" t="str">
        <f>IFERROR(AV33/AV36,"")</f>
        <v/>
      </c>
      <c r="AW34" s="188" t="str">
        <f>IFERROR(AW33/AW36,"")</f>
        <v/>
      </c>
      <c r="AX34" s="224"/>
      <c r="AY34" s="224"/>
      <c r="AZ34" s="188" t="str">
        <f>IFERROR(AZ33/AZ36,"")</f>
        <v/>
      </c>
      <c r="BA34" s="188" t="str">
        <f>IFERROR(BA33/BA36,"")</f>
        <v/>
      </c>
      <c r="BB34" s="188" t="s">
        <v>380</v>
      </c>
      <c r="BC34" s="188" t="str">
        <f>IFERROR(BC33/BC36,"")</f>
        <v/>
      </c>
      <c r="BD34" s="188" t="str">
        <f>IFERROR(BD33/BD36,"")</f>
        <v/>
      </c>
    </row>
    <row r="35" spans="1:56" hidden="1" outlineLevel="1" x14ac:dyDescent="0.2">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row>
    <row r="36" spans="1:56" s="22" customFormat="1" hidden="1" outlineLevel="1" x14ac:dyDescent="0.2">
      <c r="A36" s="99" t="s">
        <v>29</v>
      </c>
      <c r="B36" s="99"/>
      <c r="C36" s="100">
        <f>C63</f>
        <v>1180.8489999999999</v>
      </c>
      <c r="D36" s="100">
        <f>IFERROR(E36-C36,"n.a.")</f>
        <v>1246.0310000000002</v>
      </c>
      <c r="E36" s="100">
        <f>E63</f>
        <v>2426.88</v>
      </c>
      <c r="F36" s="100">
        <f>IFERROR(G36-E36,"n.a.")</f>
        <v>1279.5909999999994</v>
      </c>
      <c r="G36" s="100">
        <f>G63</f>
        <v>3706.4709999999995</v>
      </c>
      <c r="H36" s="100">
        <f>IFERROR(I36-G36,"n.a.")</f>
        <v>1269.9250000000002</v>
      </c>
      <c r="I36" s="100">
        <f>I63</f>
        <v>4976.3959999999997</v>
      </c>
      <c r="J36" s="100">
        <f>J63</f>
        <v>1339.2540000000001</v>
      </c>
      <c r="K36" s="100">
        <f>IFERROR(L36-J36,"n.a.")</f>
        <v>1346.0910000000006</v>
      </c>
      <c r="L36" s="100">
        <f>L63</f>
        <v>2685.3450000000007</v>
      </c>
      <c r="M36" s="100">
        <f>IFERROR(N36-L36,"n.a.")</f>
        <v>1353.15</v>
      </c>
      <c r="N36" s="100">
        <f>N63</f>
        <v>4038.4950000000008</v>
      </c>
      <c r="O36" s="100">
        <f>IFERROR(P36-N36,"n.a.")</f>
        <v>1313.780999999999</v>
      </c>
      <c r="P36" s="100">
        <f>P63</f>
        <v>5352.2759999999998</v>
      </c>
      <c r="Q36" s="100">
        <f t="shared" ref="Q36:W36" si="14">IFERROR(Q21+Q24+Q27+Q30+Q33,"n.a.")</f>
        <v>1310.2940000000001</v>
      </c>
      <c r="R36" s="100">
        <f t="shared" si="14"/>
        <v>1320.0330000000001</v>
      </c>
      <c r="S36" s="100">
        <f t="shared" si="14"/>
        <v>2630.3270000000002</v>
      </c>
      <c r="T36" s="100">
        <f t="shared" si="14"/>
        <v>1294.9489999999998</v>
      </c>
      <c r="U36" s="100">
        <f t="shared" si="14"/>
        <v>3925.2759999999998</v>
      </c>
      <c r="V36" s="100">
        <f t="shared" si="14"/>
        <v>1269.1889999999999</v>
      </c>
      <c r="W36" s="100">
        <f t="shared" si="14"/>
        <v>5194.4650000000001</v>
      </c>
      <c r="X36" s="100">
        <f>IFERROR(X21+X24+X27+X30+X33,"n.a.")</f>
        <v>1313.8029999999999</v>
      </c>
      <c r="Y36" s="100">
        <f t="shared" ref="Y36:AD36" si="15">IFERROR(Y21+Y24+Y27+Y30+Y33,"n.a.")</f>
        <v>1341.0420000000004</v>
      </c>
      <c r="Z36" s="100">
        <f t="shared" si="15"/>
        <v>2654.8450000000003</v>
      </c>
      <c r="AA36" s="100">
        <f t="shared" si="15"/>
        <v>1381.5389999999995</v>
      </c>
      <c r="AB36" s="100">
        <f t="shared" si="15"/>
        <v>4036.384</v>
      </c>
      <c r="AC36" s="100">
        <f t="shared" si="15"/>
        <v>1286.6690000000001</v>
      </c>
      <c r="AD36" s="100">
        <f t="shared" si="15"/>
        <v>5323.0529999999999</v>
      </c>
      <c r="AE36" s="100" t="str">
        <f>IFERROR(AE21+AE24+AE27+AE30+AE33,"n.a.")</f>
        <v>n.a.</v>
      </c>
      <c r="AF36" s="100" t="str">
        <f>IFERROR(AF21+AF24+AF27+AF30+AF33,"n.a.")</f>
        <v>n.a.</v>
      </c>
      <c r="AG36" s="100" t="str">
        <f>IFERROR(AG21+AG24+AG27+AG30+AG33,"n.a.")</f>
        <v>n.a.</v>
      </c>
      <c r="AH36" s="100" t="str">
        <f>IFERROR(AH21+AH24+AH27+AH30+AH33,"n.a.")</f>
        <v>n.a.</v>
      </c>
      <c r="AI36" s="100" t="str">
        <f>IFERROR(AI21+AI24+AI27+AI30+AI33,"n.a.")</f>
        <v>n.a.</v>
      </c>
      <c r="AJ36" s="222"/>
      <c r="AK36" s="222"/>
      <c r="AL36" s="100" t="str">
        <f>IFERROR(AL21+AL24+AL27+AL30+AL33,"n.a.")</f>
        <v>n.a.</v>
      </c>
      <c r="AM36" s="100" t="str">
        <f>IFERROR(AM21+AM24+AM27+AM30+AM33,"n.a.")</f>
        <v>n.a.</v>
      </c>
      <c r="AN36" s="100" t="str">
        <f>IFERROR(AN21+AN24+AN27+AN30+AN33,"n.a.")</f>
        <v>n.a.</v>
      </c>
      <c r="AO36" s="100" t="str">
        <f>IFERROR(AO21+AO24+AO27+AO30+AO33,"n.a.")</f>
        <v>n.a.</v>
      </c>
      <c r="AP36" s="100" t="str">
        <f>IFERROR(AP21+AP24+AP27+AP30+AP33,"n.a.")</f>
        <v>n.a.</v>
      </c>
      <c r="AQ36" s="222"/>
      <c r="AR36" s="222"/>
      <c r="AS36" s="100" t="str">
        <f>IFERROR(AS21+AS24+AS27+AS30+AS33,"n.a.")</f>
        <v>n.a.</v>
      </c>
      <c r="AT36" s="100" t="str">
        <f>IFERROR(AT21+AT24+AT27+AT30+AT33,"n.a.")</f>
        <v>n.a.</v>
      </c>
      <c r="AU36" s="100" t="s">
        <v>228</v>
      </c>
      <c r="AV36" s="100" t="str">
        <f>IFERROR(AV21+AV24+AV27+AV30+AV33,"n.a.")</f>
        <v>n.a.</v>
      </c>
      <c r="AW36" s="100" t="str">
        <f>IFERROR(AW21+AW24+AW27+AW30+AW33,"n.a.")</f>
        <v>n.a.</v>
      </c>
      <c r="AX36" s="222"/>
      <c r="AY36" s="222"/>
      <c r="AZ36" s="100" t="str">
        <f>IFERROR(AZ21+AZ24+AZ27+AZ30+AZ33,"n.a.")</f>
        <v>n.a.</v>
      </c>
      <c r="BA36" s="100" t="str">
        <f>IFERROR(BA21+BA24+BA27+BA30+BA33,"n.a.")</f>
        <v>n.a.</v>
      </c>
      <c r="BB36" s="100" t="s">
        <v>228</v>
      </c>
      <c r="BC36" s="100" t="str">
        <f>IFERROR(BC21+BC24+BC27+BC30+BC33,"n.a.")</f>
        <v>n.a.</v>
      </c>
      <c r="BD36" s="100" t="str">
        <f>IFERROR(BD21+BD24+BD27+BD30+BD33,"n.a.")</f>
        <v>n.a.</v>
      </c>
    </row>
    <row r="37" spans="1:56" hidden="1" outlineLevel="1" x14ac:dyDescent="0.2">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row>
    <row r="38" spans="1:56" s="27" customFormat="1" hidden="1" outlineLevel="1" x14ac:dyDescent="0.2">
      <c r="A38" s="25" t="s">
        <v>269</v>
      </c>
      <c r="B38" s="25"/>
      <c r="C38" s="188" t="str">
        <f t="shared" ref="C38:H38" si="16">IFERROR((C21+C24+C27)/C36,"n.a.")</f>
        <v>n.a.</v>
      </c>
      <c r="D38" s="188" t="str">
        <f t="shared" si="16"/>
        <v>n.a.</v>
      </c>
      <c r="E38" s="188" t="str">
        <f t="shared" si="16"/>
        <v>n.a.</v>
      </c>
      <c r="F38" s="188" t="str">
        <f t="shared" si="16"/>
        <v>n.a.</v>
      </c>
      <c r="G38" s="188" t="str">
        <f t="shared" si="16"/>
        <v>n.a.</v>
      </c>
      <c r="H38" s="188" t="str">
        <f t="shared" si="16"/>
        <v>n.a.</v>
      </c>
      <c r="I38" s="188" t="str">
        <f t="shared" ref="I38:X38" si="17">IFERROR((I21+I24+I27)/I36,"n.a.")</f>
        <v>n.a.</v>
      </c>
      <c r="J38" s="188" t="str">
        <f t="shared" si="17"/>
        <v>n.a.</v>
      </c>
      <c r="K38" s="188" t="str">
        <f t="shared" si="17"/>
        <v>n.a.</v>
      </c>
      <c r="L38" s="188" t="str">
        <f t="shared" si="17"/>
        <v>n.a.</v>
      </c>
      <c r="M38" s="188" t="str">
        <f t="shared" si="17"/>
        <v>n.a.</v>
      </c>
      <c r="N38" s="188" t="str">
        <f t="shared" si="17"/>
        <v>n.a.</v>
      </c>
      <c r="O38" s="188" t="str">
        <f t="shared" si="17"/>
        <v>n.a.</v>
      </c>
      <c r="P38" s="188" t="str">
        <f t="shared" si="17"/>
        <v>n.a.</v>
      </c>
      <c r="Q38" s="188">
        <f t="shared" si="17"/>
        <v>0.80638925309892273</v>
      </c>
      <c r="R38" s="188">
        <f t="shared" si="17"/>
        <v>0.81908558346647387</v>
      </c>
      <c r="S38" s="188">
        <f t="shared" si="17"/>
        <v>0.81276092288145163</v>
      </c>
      <c r="T38" s="188">
        <f t="shared" si="17"/>
        <v>0.84884655689142974</v>
      </c>
      <c r="U38" s="188">
        <f t="shared" si="17"/>
        <v>0.82466557765619541</v>
      </c>
      <c r="V38" s="188">
        <f t="shared" si="17"/>
        <v>0.78785350330013892</v>
      </c>
      <c r="W38" s="188">
        <f t="shared" si="17"/>
        <v>0.81567110376140761</v>
      </c>
      <c r="X38" s="188">
        <f t="shared" si="17"/>
        <v>0.82415247948132253</v>
      </c>
      <c r="Y38" s="188">
        <f t="shared" ref="Y38:AE38" si="18">IFERROR((Y21+Y24+Y27)/Y36,"n.a.")</f>
        <v>0.81250699083250189</v>
      </c>
      <c r="Z38" s="188">
        <f t="shared" si="18"/>
        <v>0.81826999316344262</v>
      </c>
      <c r="AA38" s="188">
        <f t="shared" si="18"/>
        <v>0.83858074220126977</v>
      </c>
      <c r="AB38" s="188">
        <f t="shared" si="18"/>
        <v>0.82522178266488022</v>
      </c>
      <c r="AC38" s="188">
        <f t="shared" si="18"/>
        <v>0.80420838615059498</v>
      </c>
      <c r="AD38" s="188">
        <f t="shared" si="18"/>
        <v>0.82014250092944785</v>
      </c>
      <c r="AE38" s="188" t="str">
        <f t="shared" si="18"/>
        <v>n.a.</v>
      </c>
      <c r="AF38" s="188" t="str">
        <f>IFERROR((AF21+AF24+AF27)/AF36,"n.a.")</f>
        <v>n.a.</v>
      </c>
      <c r="AG38" s="188" t="str">
        <f>IFERROR((AG21+AG24+AG27)/AG36,"n.a.")</f>
        <v>n.a.</v>
      </c>
      <c r="AH38" s="188" t="str">
        <f>IFERROR((AH21+AH24+AH27)/AH36,"n.a.")</f>
        <v>n.a.</v>
      </c>
      <c r="AI38" s="188" t="str">
        <f>IFERROR((AI21+AI24+AI27)/AI36,"n.a.")</f>
        <v>n.a.</v>
      </c>
      <c r="AJ38" s="224"/>
      <c r="AK38" s="224"/>
      <c r="AL38" s="188" t="str">
        <f>IFERROR((AL21+AL24+AL27)/AL36,"n.a.")</f>
        <v>n.a.</v>
      </c>
      <c r="AM38" s="188" t="str">
        <f>IFERROR((AM21+AM24+AM27)/AM36,"n.a.")</f>
        <v>n.a.</v>
      </c>
      <c r="AN38" s="188" t="str">
        <f>IFERROR((AN21+AN24+AN27)/AN36,"n.a.")</f>
        <v>n.a.</v>
      </c>
      <c r="AO38" s="188" t="str">
        <f>IFERROR((AO21+AO24+AO27)/AO36,"n.a.")</f>
        <v>n.a.</v>
      </c>
      <c r="AP38" s="188" t="str">
        <f>IFERROR((AP21+AP24+AP27)/AP36,"n.a.")</f>
        <v>n.a.</v>
      </c>
      <c r="AQ38" s="224"/>
      <c r="AR38" s="224"/>
      <c r="AS38" s="188" t="str">
        <f>IFERROR((AS21+AS24+AS27)/AS36,"n.a.")</f>
        <v>n.a.</v>
      </c>
      <c r="AT38" s="189" t="str">
        <f>IFERROR((AT21+AT24+AT27)/AT36,"n.a.")</f>
        <v>n.a.</v>
      </c>
      <c r="AU38" s="188" t="s">
        <v>228</v>
      </c>
      <c r="AV38" s="188" t="str">
        <f>IFERROR((AV21+AV24+AV27)/AV36,"n.a.")</f>
        <v>n.a.</v>
      </c>
      <c r="AW38" s="188" t="str">
        <f>IFERROR((AW21+AW24+AW27)/AW36,"n.a.")</f>
        <v>n.a.</v>
      </c>
      <c r="AX38" s="224"/>
      <c r="AY38" s="224"/>
      <c r="AZ38" s="188" t="str">
        <f>IFERROR((AZ21+AZ24+AZ27)/AZ36,"n.a.")</f>
        <v>n.a.</v>
      </c>
      <c r="BA38" s="189" t="str">
        <f>IFERROR((BA21+BA24+BA27)/BA36,"n.a.")</f>
        <v>n.a.</v>
      </c>
      <c r="BB38" s="188" t="s">
        <v>228</v>
      </c>
      <c r="BC38" s="188" t="str">
        <f>IFERROR((BC21+BC24+BC27)/BC36,"n.a.")</f>
        <v>n.a.</v>
      </c>
      <c r="BD38" s="188" t="str">
        <f>IFERROR((BD21+BD24+BD27)/BD36,"n.a.")</f>
        <v>n.a.</v>
      </c>
    </row>
    <row r="39" spans="1:56" s="27" customFormat="1" hidden="1" outlineLevel="1" x14ac:dyDescent="0.2">
      <c r="A39" s="25" t="s">
        <v>270</v>
      </c>
      <c r="B39" s="25"/>
      <c r="C39" s="188" t="str">
        <f>IFERROR((C30+C33)/C36,"n.a.")</f>
        <v>n.a.</v>
      </c>
      <c r="D39" s="188" t="str">
        <f t="shared" ref="D39:X39" si="19">IFERROR((D30+D33)/D36,"n.a.")</f>
        <v>n.a.</v>
      </c>
      <c r="E39" s="188" t="str">
        <f t="shared" si="19"/>
        <v>n.a.</v>
      </c>
      <c r="F39" s="188" t="str">
        <f t="shared" si="19"/>
        <v>n.a.</v>
      </c>
      <c r="G39" s="188" t="str">
        <f t="shared" si="19"/>
        <v>n.a.</v>
      </c>
      <c r="H39" s="188" t="str">
        <f t="shared" si="19"/>
        <v>n.a.</v>
      </c>
      <c r="I39" s="188" t="str">
        <f t="shared" si="19"/>
        <v>n.a.</v>
      </c>
      <c r="J39" s="188" t="str">
        <f t="shared" si="19"/>
        <v>n.a.</v>
      </c>
      <c r="K39" s="188" t="str">
        <f t="shared" si="19"/>
        <v>n.a.</v>
      </c>
      <c r="L39" s="188" t="str">
        <f t="shared" si="19"/>
        <v>n.a.</v>
      </c>
      <c r="M39" s="188" t="str">
        <f t="shared" si="19"/>
        <v>n.a.</v>
      </c>
      <c r="N39" s="188" t="str">
        <f t="shared" si="19"/>
        <v>n.a.</v>
      </c>
      <c r="O39" s="188" t="str">
        <f t="shared" si="19"/>
        <v>n.a.</v>
      </c>
      <c r="P39" s="188" t="str">
        <f t="shared" si="19"/>
        <v>n.a.</v>
      </c>
      <c r="Q39" s="188">
        <f t="shared" si="19"/>
        <v>0.19361074690107716</v>
      </c>
      <c r="R39" s="188">
        <f t="shared" si="19"/>
        <v>0.18091441653352602</v>
      </c>
      <c r="S39" s="188">
        <f t="shared" si="19"/>
        <v>0.18723907711854837</v>
      </c>
      <c r="T39" s="188">
        <f t="shared" si="19"/>
        <v>0.15115344310857032</v>
      </c>
      <c r="U39" s="188">
        <f t="shared" si="19"/>
        <v>0.17533442234380461</v>
      </c>
      <c r="V39" s="188">
        <f t="shared" si="19"/>
        <v>0.21214649669986113</v>
      </c>
      <c r="W39" s="188">
        <f t="shared" si="19"/>
        <v>0.18432889623859242</v>
      </c>
      <c r="X39" s="188">
        <f t="shared" si="19"/>
        <v>0.17584752051867747</v>
      </c>
      <c r="Y39" s="188">
        <f t="shared" ref="Y39:AE39" si="20">IFERROR((Y30+Y33)/Y36,"n.a.")</f>
        <v>0.18749300916749809</v>
      </c>
      <c r="Z39" s="188">
        <f t="shared" si="20"/>
        <v>0.1817300068365573</v>
      </c>
      <c r="AA39" s="188">
        <f t="shared" si="20"/>
        <v>0.16141925779873029</v>
      </c>
      <c r="AB39" s="188">
        <f t="shared" si="20"/>
        <v>0.17477821733511975</v>
      </c>
      <c r="AC39" s="188">
        <f t="shared" si="20"/>
        <v>0.19579161384940494</v>
      </c>
      <c r="AD39" s="188">
        <f t="shared" si="20"/>
        <v>0.17985749907055221</v>
      </c>
      <c r="AE39" s="188" t="str">
        <f t="shared" si="20"/>
        <v>n.a.</v>
      </c>
      <c r="AF39" s="188" t="str">
        <f>IFERROR((AF30+AF33)/AF36,"n.a.")</f>
        <v>n.a.</v>
      </c>
      <c r="AG39" s="188" t="str">
        <f>IFERROR((AG30+AG33)/AG36,"n.a.")</f>
        <v>n.a.</v>
      </c>
      <c r="AH39" s="188" t="str">
        <f>IFERROR((AH30+AH33)/AH36,"n.a.")</f>
        <v>n.a.</v>
      </c>
      <c r="AI39" s="188" t="str">
        <f>IFERROR((AI30+AI33)/AI36,"n.a.")</f>
        <v>n.a.</v>
      </c>
      <c r="AJ39" s="224"/>
      <c r="AK39" s="224"/>
      <c r="AL39" s="188" t="str">
        <f>IFERROR((AL30+AL33)/AL36,"n.a.")</f>
        <v>n.a.</v>
      </c>
      <c r="AM39" s="188" t="str">
        <f>IFERROR((AM30+AM33)/AM36,"n.a.")</f>
        <v>n.a.</v>
      </c>
      <c r="AN39" s="188" t="str">
        <f>IFERROR((AN30+AN33)/AN36,"n.a.")</f>
        <v>n.a.</v>
      </c>
      <c r="AO39" s="188" t="str">
        <f>IFERROR((AO30+AO33)/AO36,"n.a.")</f>
        <v>n.a.</v>
      </c>
      <c r="AP39" s="188" t="str">
        <f>IFERROR((AP30+AP33)/AP36,"n.a.")</f>
        <v>n.a.</v>
      </c>
      <c r="AQ39" s="224"/>
      <c r="AR39" s="224"/>
      <c r="AS39" s="188" t="str">
        <f>IFERROR((AS30+AS33)/AS36,"n.a.")</f>
        <v>n.a.</v>
      </c>
      <c r="AT39" s="191" t="str">
        <f>IFERROR((AT30+AT33)/AT36,"n.a.")</f>
        <v>n.a.</v>
      </c>
      <c r="AU39" s="188" t="s">
        <v>228</v>
      </c>
      <c r="AV39" s="188" t="str">
        <f>IFERROR((AV30+AV33)/AV36,"n.a.")</f>
        <v>n.a.</v>
      </c>
      <c r="AW39" s="188" t="str">
        <f>IFERROR((AW30+AW33)/AW36,"n.a.")</f>
        <v>n.a.</v>
      </c>
      <c r="AX39" s="224"/>
      <c r="AY39" s="224"/>
      <c r="AZ39" s="188" t="str">
        <f>IFERROR((AZ30+AZ33)/AZ36,"n.a.")</f>
        <v>n.a.</v>
      </c>
      <c r="BA39" s="191" t="str">
        <f>IFERROR((BA30+BA33)/BA36,"n.a.")</f>
        <v>n.a.</v>
      </c>
      <c r="BB39" s="188" t="s">
        <v>228</v>
      </c>
      <c r="BC39" s="188" t="str">
        <f>IFERROR((BC30+BC33)/BC36,"n.a.")</f>
        <v>n.a.</v>
      </c>
      <c r="BD39" s="188" t="str">
        <f>IFERROR((BD30+BD33)/BD36,"n.a.")</f>
        <v>n.a.</v>
      </c>
    </row>
    <row r="40" spans="1:56" hidden="1" outlineLevel="1" x14ac:dyDescent="0.2">
      <c r="AT40" s="191"/>
      <c r="BA40" s="191"/>
    </row>
    <row r="41" spans="1:56" hidden="1" outlineLevel="1" x14ac:dyDescent="0.2">
      <c r="AT41" s="193"/>
      <c r="BA41" s="193"/>
    </row>
    <row r="42" spans="1:56" ht="13.5" hidden="1" outlineLevel="1" thickBot="1" x14ac:dyDescent="0.25">
      <c r="A42" s="11" t="s">
        <v>289</v>
      </c>
      <c r="B42" s="11"/>
      <c r="C42" s="13" t="s">
        <v>163</v>
      </c>
      <c r="D42" s="13" t="s">
        <v>170</v>
      </c>
      <c r="E42" s="13" t="s">
        <v>162</v>
      </c>
      <c r="F42" s="13" t="s">
        <v>171</v>
      </c>
      <c r="G42" s="13" t="s">
        <v>121</v>
      </c>
      <c r="H42" s="13" t="s">
        <v>169</v>
      </c>
      <c r="I42" s="13" t="str">
        <f t="shared" ref="I42:AI42" si="21">I4</f>
        <v>FY 2016</v>
      </c>
      <c r="J42" s="13" t="str">
        <f t="shared" si="21"/>
        <v>1Q 2017</v>
      </c>
      <c r="K42" s="13" t="str">
        <f t="shared" si="21"/>
        <v>2Q 2017</v>
      </c>
      <c r="L42" s="13" t="str">
        <f t="shared" si="21"/>
        <v>1H 2017</v>
      </c>
      <c r="M42" s="13" t="str">
        <f t="shared" si="21"/>
        <v>3Q 2017</v>
      </c>
      <c r="N42" s="13" t="str">
        <f t="shared" si="21"/>
        <v>9M 2017</v>
      </c>
      <c r="O42" s="13" t="str">
        <f t="shared" si="21"/>
        <v>4Q 2017</v>
      </c>
      <c r="P42" s="13" t="str">
        <f t="shared" si="21"/>
        <v>FY 2017</v>
      </c>
      <c r="Q42" s="13" t="str">
        <f t="shared" si="21"/>
        <v>1Q 2018</v>
      </c>
      <c r="R42" s="171" t="str">
        <f t="shared" si="21"/>
        <v>2Q 2018</v>
      </c>
      <c r="S42" s="171" t="str">
        <f t="shared" si="21"/>
        <v>1H 2018</v>
      </c>
      <c r="T42" s="13" t="str">
        <f t="shared" si="21"/>
        <v>3Q 2018</v>
      </c>
      <c r="U42" s="13" t="str">
        <f t="shared" si="21"/>
        <v>9M 2018</v>
      </c>
      <c r="V42" s="13" t="str">
        <f t="shared" si="21"/>
        <v>4Q 2018</v>
      </c>
      <c r="W42" s="13" t="str">
        <f t="shared" si="21"/>
        <v>FY 2018</v>
      </c>
      <c r="X42" s="13" t="str">
        <f t="shared" si="21"/>
        <v>1Q 2019</v>
      </c>
      <c r="Y42" s="171" t="str">
        <f t="shared" si="21"/>
        <v>2Q 2019</v>
      </c>
      <c r="Z42" s="171" t="str">
        <f t="shared" si="21"/>
        <v>1H 2019</v>
      </c>
      <c r="AA42" s="13" t="str">
        <f t="shared" si="21"/>
        <v>3Q 2019</v>
      </c>
      <c r="AB42" s="13" t="str">
        <f t="shared" si="21"/>
        <v>9M 2019</v>
      </c>
      <c r="AC42" s="13" t="str">
        <f t="shared" si="21"/>
        <v>4Q 2019</v>
      </c>
      <c r="AD42" s="13" t="str">
        <f t="shared" si="21"/>
        <v>FY 2019</v>
      </c>
      <c r="AE42" s="13" t="str">
        <f t="shared" si="21"/>
        <v>1Q 2020</v>
      </c>
      <c r="AF42" s="171" t="str">
        <f t="shared" si="21"/>
        <v>2Q 2020</v>
      </c>
      <c r="AG42" s="171" t="str">
        <f t="shared" si="21"/>
        <v>1H 2020</v>
      </c>
      <c r="AH42" s="171" t="str">
        <f t="shared" si="21"/>
        <v>3Q 2020</v>
      </c>
      <c r="AI42" s="171" t="str">
        <f t="shared" si="21"/>
        <v>9M 2020</v>
      </c>
      <c r="AJ42" s="223"/>
      <c r="AK42" s="223"/>
      <c r="AL42" s="13" t="str">
        <f t="shared" ref="AL42:AP43" si="22">AL4</f>
        <v>1Q 2021</v>
      </c>
      <c r="AM42" s="171" t="str">
        <f t="shared" si="22"/>
        <v>2Q 2021</v>
      </c>
      <c r="AN42" s="171" t="str">
        <f t="shared" si="22"/>
        <v>1H 2021</v>
      </c>
      <c r="AO42" s="171" t="str">
        <f t="shared" si="22"/>
        <v>3Q 2021</v>
      </c>
      <c r="AP42" s="171" t="str">
        <f t="shared" si="22"/>
        <v>9M 2021</v>
      </c>
      <c r="AQ42" s="223"/>
      <c r="AR42" s="223"/>
      <c r="AS42" s="13" t="str">
        <f>AS4</f>
        <v>1Q 2022</v>
      </c>
      <c r="AT42" s="13" t="str">
        <f>AT4</f>
        <v>2Q 2022</v>
      </c>
      <c r="AU42" s="171" t="s">
        <v>379</v>
      </c>
      <c r="AV42" s="171" t="str">
        <f>AV4</f>
        <v>3Q 2022</v>
      </c>
      <c r="AW42" s="171" t="str">
        <f>AW4</f>
        <v>9M 2022</v>
      </c>
      <c r="AX42" s="223"/>
      <c r="AY42" s="223"/>
      <c r="AZ42" s="13" t="str">
        <f>AZ4</f>
        <v>1Q 2023</v>
      </c>
      <c r="BA42" s="13" t="str">
        <f>BA4</f>
        <v>2Q 2023</v>
      </c>
      <c r="BB42" s="171" t="s">
        <v>379</v>
      </c>
      <c r="BC42" s="13" t="str">
        <f>BC4</f>
        <v>3Q 2023</v>
      </c>
      <c r="BD42" s="13" t="str">
        <f>BD4</f>
        <v>9M 2023</v>
      </c>
    </row>
    <row r="43" spans="1:56" hidden="1" outlineLevel="1" x14ac:dyDescent="0.2">
      <c r="C43" s="37" t="s">
        <v>189</v>
      </c>
      <c r="D43" s="37" t="s">
        <v>189</v>
      </c>
      <c r="E43" s="37" t="s">
        <v>189</v>
      </c>
      <c r="F43" s="37" t="s">
        <v>189</v>
      </c>
      <c r="G43" s="37" t="s">
        <v>189</v>
      </c>
      <c r="H43" s="37" t="s">
        <v>189</v>
      </c>
      <c r="I43" s="37" t="str">
        <f>I5</f>
        <v>restated</v>
      </c>
      <c r="J43" s="37" t="str">
        <f>J5</f>
        <v>reported</v>
      </c>
      <c r="K43" s="172" t="s">
        <v>251</v>
      </c>
      <c r="L43" s="37" t="str">
        <f>L5</f>
        <v>reported</v>
      </c>
      <c r="M43" s="172" t="s">
        <v>252</v>
      </c>
      <c r="N43" s="37" t="str">
        <f t="shared" ref="N43:AI43" si="23">N5</f>
        <v>reported</v>
      </c>
      <c r="O43" s="37" t="str">
        <f t="shared" si="23"/>
        <v>reported</v>
      </c>
      <c r="P43" s="37" t="str">
        <f t="shared" si="23"/>
        <v>reported</v>
      </c>
      <c r="Q43" s="37" t="str">
        <f t="shared" si="23"/>
        <v>reported</v>
      </c>
      <c r="R43" s="37" t="str">
        <f t="shared" si="23"/>
        <v>reported</v>
      </c>
      <c r="S43" s="37" t="str">
        <f t="shared" si="23"/>
        <v>reported</v>
      </c>
      <c r="T43" s="37" t="str">
        <f t="shared" si="23"/>
        <v>reported</v>
      </c>
      <c r="U43" s="37" t="str">
        <f t="shared" si="23"/>
        <v>reported</v>
      </c>
      <c r="V43" s="37" t="str">
        <f t="shared" si="23"/>
        <v>reported</v>
      </c>
      <c r="W43" s="37" t="str">
        <f t="shared" si="23"/>
        <v>reported</v>
      </c>
      <c r="X43" s="37" t="str">
        <f t="shared" si="23"/>
        <v>reported</v>
      </c>
      <c r="Y43" s="37" t="str">
        <f t="shared" si="23"/>
        <v>reported</v>
      </c>
      <c r="Z43" s="37" t="str">
        <f t="shared" si="23"/>
        <v>reported</v>
      </c>
      <c r="AA43" s="37" t="str">
        <f t="shared" si="23"/>
        <v>reported</v>
      </c>
      <c r="AB43" s="37" t="str">
        <f t="shared" si="23"/>
        <v>reported</v>
      </c>
      <c r="AC43" s="37" t="str">
        <f t="shared" si="23"/>
        <v>reported</v>
      </c>
      <c r="AD43" s="37" t="str">
        <f t="shared" si="23"/>
        <v>reported</v>
      </c>
      <c r="AE43" s="37" t="str">
        <f t="shared" si="23"/>
        <v>reported</v>
      </c>
      <c r="AF43" s="37" t="str">
        <f t="shared" si="23"/>
        <v>reported</v>
      </c>
      <c r="AG43" s="37" t="str">
        <f t="shared" si="23"/>
        <v>reported</v>
      </c>
      <c r="AH43" s="37" t="str">
        <f t="shared" si="23"/>
        <v>reported</v>
      </c>
      <c r="AI43" s="37" t="str">
        <f t="shared" si="23"/>
        <v>reported</v>
      </c>
      <c r="AJ43" s="37"/>
      <c r="AK43" s="37"/>
      <c r="AL43" s="37" t="str">
        <f t="shared" si="22"/>
        <v>reported</v>
      </c>
      <c r="AM43" s="37" t="str">
        <f t="shared" si="22"/>
        <v>reported</v>
      </c>
      <c r="AN43" s="37" t="str">
        <f t="shared" si="22"/>
        <v>reported</v>
      </c>
      <c r="AO43" s="37" t="str">
        <f t="shared" si="22"/>
        <v>reported</v>
      </c>
      <c r="AP43" s="37" t="str">
        <f t="shared" si="22"/>
        <v>reported</v>
      </c>
      <c r="AQ43" s="37"/>
      <c r="AR43" s="37"/>
      <c r="AS43" s="37" t="str">
        <f>AS5</f>
        <v>reported</v>
      </c>
      <c r="AT43" s="37" t="str">
        <f>AT5</f>
        <v>reported</v>
      </c>
      <c r="AU43" s="37" t="s">
        <v>175</v>
      </c>
      <c r="AV43" s="37" t="str">
        <f>AV5</f>
        <v>reported</v>
      </c>
      <c r="AW43" s="37" t="str">
        <f>AW5</f>
        <v>reported</v>
      </c>
      <c r="AX43" s="37"/>
      <c r="AY43" s="37"/>
      <c r="AZ43" s="37" t="str">
        <f>AZ5</f>
        <v>reported</v>
      </c>
      <c r="BA43" s="37" t="str">
        <f>BA5</f>
        <v>reported</v>
      </c>
      <c r="BB43" s="37" t="s">
        <v>175</v>
      </c>
      <c r="BC43" s="37" t="str">
        <f>BC5</f>
        <v>reported</v>
      </c>
      <c r="BD43" s="37" t="str">
        <f>BD5</f>
        <v>reported</v>
      </c>
    </row>
    <row r="44" spans="1:56" hidden="1" outlineLevel="1" x14ac:dyDescent="0.2"/>
    <row r="45" spans="1:56" hidden="1" outlineLevel="1" x14ac:dyDescent="0.2">
      <c r="A45" s="14" t="s">
        <v>36</v>
      </c>
      <c r="B45" s="23"/>
      <c r="C45" s="156">
        <v>528.71400000000006</v>
      </c>
      <c r="D45" s="36">
        <f>IFERROR(E45-C45,"n.a.")</f>
        <v>537.25599999999997</v>
      </c>
      <c r="E45" s="24">
        <v>1065.97</v>
      </c>
      <c r="F45" s="36">
        <f>IFERROR(G45-E45,"n.a.")</f>
        <v>525.32999999999993</v>
      </c>
      <c r="G45" s="24">
        <v>1591.3</v>
      </c>
      <c r="H45" s="36">
        <f>IFERROR(I45-G45,"n.a.")</f>
        <v>501.40100000000007</v>
      </c>
      <c r="I45" s="31">
        <f>'Adj. Rev. detail - FY'!F47</f>
        <v>2092.701</v>
      </c>
      <c r="J45" s="86">
        <v>569.976</v>
      </c>
      <c r="K45" s="77">
        <f>IFERROR(L45-J45,"n.a.")</f>
        <v>559.57399999999996</v>
      </c>
      <c r="L45" s="41">
        <v>1129.55</v>
      </c>
      <c r="M45" s="77">
        <f>IFERROR(N45-L45,"n.a.")</f>
        <v>568.50700000000006</v>
      </c>
      <c r="N45" s="41">
        <v>1698.057</v>
      </c>
      <c r="O45" s="77">
        <f>IFERROR(P45-N45,"n.a.")</f>
        <v>539.90499999999997</v>
      </c>
      <c r="P45" s="52">
        <f>'Adj. Rev. detail - FY'!G47</f>
        <v>2237.962</v>
      </c>
      <c r="Q45" s="86">
        <v>577.47900000000004</v>
      </c>
      <c r="R45" s="77">
        <f>IFERROR(S45-Q45,"n.a.")</f>
        <v>577.89200000000005</v>
      </c>
      <c r="S45" s="41">
        <v>1155.3710000000001</v>
      </c>
      <c r="T45" s="77">
        <f>IFERROR(U45-S45,"n.a.")</f>
        <v>559.19899999999984</v>
      </c>
      <c r="U45" s="41">
        <v>1714.57</v>
      </c>
      <c r="V45" s="77">
        <f>IFERROR(W45-U45,"n.a.")</f>
        <v>519.59600000000023</v>
      </c>
      <c r="W45" s="52">
        <f>'Adj. Rev. detail - FY'!H47</f>
        <v>2234.1660000000002</v>
      </c>
      <c r="X45" s="86" t="s">
        <v>228</v>
      </c>
      <c r="Y45" s="77" t="str">
        <f>IFERROR(Z45-X45,"n.a.")</f>
        <v>n.a.</v>
      </c>
      <c r="Z45" s="41" t="s">
        <v>228</v>
      </c>
      <c r="AA45" s="77" t="str">
        <f>IFERROR(AB45-Z45,"n.a.")</f>
        <v>n.a.</v>
      </c>
      <c r="AB45" s="41" t="s">
        <v>228</v>
      </c>
      <c r="AC45" s="77" t="str">
        <f>IFERROR(AD45-AB45,"n.a.")</f>
        <v>n.a.</v>
      </c>
      <c r="AD45" s="52" t="str">
        <f>'Adj. Rev. detail - FY'!I47</f>
        <v>n.a.</v>
      </c>
      <c r="AE45" s="86" t="s">
        <v>228</v>
      </c>
      <c r="AF45" s="77" t="str">
        <f>IFERROR(AG45-AE45,"n.a.")</f>
        <v>n.a.</v>
      </c>
      <c r="AG45" s="41" t="s">
        <v>228</v>
      </c>
      <c r="AH45" s="77" t="str">
        <f>IFERROR(AI45-AG45,"n.a.")</f>
        <v>n.a.</v>
      </c>
      <c r="AI45" s="41" t="s">
        <v>228</v>
      </c>
      <c r="AJ45" s="221"/>
      <c r="AK45" s="221"/>
      <c r="AL45" s="228" t="s">
        <v>228</v>
      </c>
      <c r="AM45" s="77" t="str">
        <f>IFERROR(AN45-AL45,"n.a.")</f>
        <v>n.a.</v>
      </c>
      <c r="AN45" s="41" t="s">
        <v>228</v>
      </c>
      <c r="AO45" s="77" t="str">
        <f>IFERROR(AP45-AN45,"n.a.")</f>
        <v>n.a.</v>
      </c>
      <c r="AP45" s="41" t="s">
        <v>228</v>
      </c>
      <c r="AQ45" s="221"/>
      <c r="AR45" s="221"/>
      <c r="AS45" s="228" t="s">
        <v>228</v>
      </c>
      <c r="AT45" s="228" t="str">
        <f>IFERROR(AU45-AS45,"n.a.")</f>
        <v>n.a.</v>
      </c>
      <c r="AU45" s="41" t="s">
        <v>228</v>
      </c>
      <c r="AV45" s="77" t="str">
        <f>IFERROR(AW45-AU45,"n.a.")</f>
        <v>n.a.</v>
      </c>
      <c r="AW45" s="41" t="s">
        <v>228</v>
      </c>
      <c r="AX45" s="221"/>
      <c r="AY45" s="221"/>
      <c r="AZ45" s="228" t="s">
        <v>228</v>
      </c>
      <c r="BA45" s="228" t="str">
        <f>IFERROR(BB45-AZ45,"n.a.")</f>
        <v>n.a.</v>
      </c>
      <c r="BB45" s="41" t="s">
        <v>228</v>
      </c>
      <c r="BC45" s="228" t="s">
        <v>228</v>
      </c>
      <c r="BD45" s="228" t="s">
        <v>228</v>
      </c>
    </row>
    <row r="46" spans="1:56" s="27" customFormat="1" hidden="1" outlineLevel="1" x14ac:dyDescent="0.2">
      <c r="A46" s="25" t="s">
        <v>82</v>
      </c>
      <c r="B46" s="25"/>
      <c r="C46" s="26">
        <f t="shared" ref="C46:P46" si="24">IFERROR(C45/C63,"")</f>
        <v>0.44774056632135023</v>
      </c>
      <c r="D46" s="26">
        <f t="shared" si="24"/>
        <v>0.4311738632505932</v>
      </c>
      <c r="E46" s="26">
        <f t="shared" si="24"/>
        <v>0.4392347376054852</v>
      </c>
      <c r="F46" s="26">
        <f t="shared" si="24"/>
        <v>0.41054524453516783</v>
      </c>
      <c r="G46" s="26">
        <f t="shared" si="24"/>
        <v>0.429330217341509</v>
      </c>
      <c r="H46" s="26">
        <f t="shared" si="24"/>
        <v>0.39482725357796727</v>
      </c>
      <c r="I46" s="26">
        <f t="shared" si="24"/>
        <v>0.42052541638567353</v>
      </c>
      <c r="J46" s="188">
        <f t="shared" si="24"/>
        <v>0.42559215802230194</v>
      </c>
      <c r="K46" s="188">
        <f t="shared" si="24"/>
        <v>0.41570295024630571</v>
      </c>
      <c r="L46" s="188">
        <f t="shared" si="24"/>
        <v>0.42063496496725733</v>
      </c>
      <c r="M46" s="188">
        <f t="shared" si="24"/>
        <v>0.42013597901193506</v>
      </c>
      <c r="N46" s="188">
        <f t="shared" si="24"/>
        <v>0.42046777326702145</v>
      </c>
      <c r="O46" s="188">
        <f t="shared" si="24"/>
        <v>0.41095509830024946</v>
      </c>
      <c r="P46" s="188">
        <f t="shared" si="24"/>
        <v>0.41813277192730719</v>
      </c>
      <c r="Q46" s="188">
        <f t="shared" ref="Q46:AI46" si="25">IFERROR(Q45/Q63,"")</f>
        <v>0.44073484427565751</v>
      </c>
      <c r="R46" s="188">
        <f t="shared" si="25"/>
        <v>0.43778834659317328</v>
      </c>
      <c r="S46" s="188">
        <f t="shared" si="25"/>
        <v>0.43925612765132371</v>
      </c>
      <c r="T46" s="188">
        <f t="shared" si="25"/>
        <v>0.43184924789210538</v>
      </c>
      <c r="U46" s="188">
        <f t="shared" si="25"/>
        <v>0.43681264368753153</v>
      </c>
      <c r="V46" s="188">
        <f t="shared" si="25"/>
        <v>0.40936278835245188</v>
      </c>
      <c r="W46" s="188">
        <f t="shared" si="25"/>
        <v>0.43010520430981902</v>
      </c>
      <c r="X46" s="188" t="str">
        <f t="shared" si="25"/>
        <v/>
      </c>
      <c r="Y46" s="188" t="str">
        <f t="shared" si="25"/>
        <v/>
      </c>
      <c r="Z46" s="188" t="str">
        <f t="shared" si="25"/>
        <v/>
      </c>
      <c r="AA46" s="188" t="str">
        <f t="shared" si="25"/>
        <v/>
      </c>
      <c r="AB46" s="188" t="str">
        <f t="shared" si="25"/>
        <v/>
      </c>
      <c r="AC46" s="188" t="str">
        <f t="shared" si="25"/>
        <v/>
      </c>
      <c r="AD46" s="188" t="str">
        <f t="shared" si="25"/>
        <v/>
      </c>
      <c r="AE46" s="188" t="str">
        <f t="shared" si="25"/>
        <v/>
      </c>
      <c r="AF46" s="188" t="str">
        <f t="shared" si="25"/>
        <v/>
      </c>
      <c r="AG46" s="188" t="str">
        <f t="shared" si="25"/>
        <v/>
      </c>
      <c r="AH46" s="188" t="str">
        <f t="shared" si="25"/>
        <v/>
      </c>
      <c r="AI46" s="188" t="str">
        <f t="shared" si="25"/>
        <v/>
      </c>
      <c r="AJ46" s="224"/>
      <c r="AK46" s="224"/>
      <c r="AL46" s="188" t="str">
        <f>IFERROR(AL45/AL63,"")</f>
        <v/>
      </c>
      <c r="AM46" s="188" t="str">
        <f>IFERROR(AM45/AM63,"")</f>
        <v/>
      </c>
      <c r="AN46" s="188" t="str">
        <f>IFERROR(AN45/AN63,"")</f>
        <v/>
      </c>
      <c r="AO46" s="188" t="str">
        <f>IFERROR(AO45/AO63,"")</f>
        <v/>
      </c>
      <c r="AP46" s="188" t="str">
        <f>IFERROR(AP45/AP63,"")</f>
        <v/>
      </c>
      <c r="AQ46" s="224"/>
      <c r="AR46" s="224"/>
      <c r="AS46" s="188" t="str">
        <f>IFERROR(AS45/AS63,"")</f>
        <v/>
      </c>
      <c r="AT46" s="188" t="str">
        <f>IFERROR(AT45/AT63,"")</f>
        <v/>
      </c>
      <c r="AU46" s="188" t="s">
        <v>380</v>
      </c>
      <c r="AV46" s="188" t="str">
        <f>IFERROR(AV45/AV63,"")</f>
        <v/>
      </c>
      <c r="AW46" s="188" t="str">
        <f>IFERROR(AW45/AW63,"")</f>
        <v/>
      </c>
      <c r="AX46" s="224"/>
      <c r="AY46" s="224"/>
      <c r="AZ46" s="188" t="str">
        <f>IFERROR(AZ45/AZ63,"")</f>
        <v/>
      </c>
      <c r="BA46" s="188" t="str">
        <f>IFERROR(BA45/BA63,"")</f>
        <v/>
      </c>
      <c r="BB46" s="188" t="s">
        <v>380</v>
      </c>
      <c r="BC46" s="188" t="str">
        <f>IFERROR(BC45/BC63,"")</f>
        <v/>
      </c>
      <c r="BD46" s="188" t="str">
        <f>IFERROR(BD45/BD63,"")</f>
        <v/>
      </c>
    </row>
    <row r="47" spans="1:56" hidden="1" outlineLevel="1" x14ac:dyDescent="0.2">
      <c r="C47" s="28"/>
      <c r="D47" s="28"/>
      <c r="E47" s="28"/>
      <c r="F47" s="28"/>
      <c r="G47" s="28"/>
      <c r="H47" s="28"/>
      <c r="I47" s="28"/>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row>
    <row r="48" spans="1:56" hidden="1" outlineLevel="1" x14ac:dyDescent="0.2">
      <c r="A48" s="14" t="s">
        <v>37</v>
      </c>
      <c r="B48" s="14"/>
      <c r="C48" s="24">
        <v>215.422</v>
      </c>
      <c r="D48" s="36">
        <f>IFERROR(E48-C48,"n.a.")</f>
        <v>232.691</v>
      </c>
      <c r="E48" s="24">
        <v>448.113</v>
      </c>
      <c r="F48" s="36">
        <f>IFERROR(G48-E48,"n.a.")</f>
        <v>244.92299999999994</v>
      </c>
      <c r="G48" s="24">
        <v>693.03599999999994</v>
      </c>
      <c r="H48" s="36">
        <f>IFERROR(I48-G48,"n.a.")</f>
        <v>241.52300000000002</v>
      </c>
      <c r="I48" s="31">
        <f>'Adj. Rev. detail - FY'!F50</f>
        <v>934.55899999999997</v>
      </c>
      <c r="J48" s="41">
        <v>250.874</v>
      </c>
      <c r="K48" s="77">
        <f>IFERROR(L48-J48,"n.a.")</f>
        <v>250.65</v>
      </c>
      <c r="L48" s="41">
        <v>501.524</v>
      </c>
      <c r="M48" s="77">
        <f>IFERROR(N48-L48,"n.a.")</f>
        <v>254.81299999999999</v>
      </c>
      <c r="N48" s="41">
        <v>756.33699999999999</v>
      </c>
      <c r="O48" s="77">
        <f>IFERROR(P48-N48,"n.a.")</f>
        <v>227.52200000000005</v>
      </c>
      <c r="P48" s="52">
        <f>'Adj. Rev. detail - FY'!G50</f>
        <v>983.85900000000004</v>
      </c>
      <c r="Q48" s="41">
        <v>243.48599999999999</v>
      </c>
      <c r="R48" s="77">
        <f>IFERROR(S48-Q48,"n.a.")</f>
        <v>243.48500000000001</v>
      </c>
      <c r="S48" s="41">
        <v>486.971</v>
      </c>
      <c r="T48" s="77">
        <f>IFERROR(U48-S48,"n.a.")</f>
        <v>266.024</v>
      </c>
      <c r="U48" s="41">
        <v>752.995</v>
      </c>
      <c r="V48" s="77">
        <f>IFERROR(W48-U48,"n.a.")</f>
        <v>251.03099999999995</v>
      </c>
      <c r="W48" s="52">
        <f>'Adj. Rev. detail - FY'!H50</f>
        <v>1004.026</v>
      </c>
      <c r="X48" s="41" t="s">
        <v>228</v>
      </c>
      <c r="Y48" s="77" t="str">
        <f>IFERROR(Z48-X48,"n.a.")</f>
        <v>n.a.</v>
      </c>
      <c r="Z48" s="41" t="s">
        <v>228</v>
      </c>
      <c r="AA48" s="77" t="str">
        <f>IFERROR(AB48-Z48,"n.a.")</f>
        <v>n.a.</v>
      </c>
      <c r="AB48" s="41" t="s">
        <v>228</v>
      </c>
      <c r="AC48" s="77" t="str">
        <f>IFERROR(AD48-AB48,"n.a.")</f>
        <v>n.a.</v>
      </c>
      <c r="AD48" s="52" t="str">
        <f>'Adj. Rev. detail - FY'!I50</f>
        <v>n.a.</v>
      </c>
      <c r="AE48" s="41" t="s">
        <v>228</v>
      </c>
      <c r="AF48" s="77" t="str">
        <f>IFERROR(AG48-AE48,"n.a.")</f>
        <v>n.a.</v>
      </c>
      <c r="AG48" s="41" t="s">
        <v>228</v>
      </c>
      <c r="AH48" s="77" t="str">
        <f>IFERROR(AI48-AG48,"n.a.")</f>
        <v>n.a.</v>
      </c>
      <c r="AI48" s="41" t="s">
        <v>228</v>
      </c>
      <c r="AJ48" s="221"/>
      <c r="AK48" s="221"/>
      <c r="AL48" s="41" t="s">
        <v>228</v>
      </c>
      <c r="AM48" s="77" t="str">
        <f>IFERROR(AN48-AL48,"n.a.")</f>
        <v>n.a.</v>
      </c>
      <c r="AN48" s="41" t="s">
        <v>228</v>
      </c>
      <c r="AO48" s="77" t="str">
        <f>IFERROR(AP48-AN48,"n.a.")</f>
        <v>n.a.</v>
      </c>
      <c r="AP48" s="41" t="s">
        <v>228</v>
      </c>
      <c r="AQ48" s="221"/>
      <c r="AR48" s="221"/>
      <c r="AS48" s="41" t="s">
        <v>228</v>
      </c>
      <c r="AT48" s="41" t="str">
        <f>IFERROR(AU48-AS48,"n.a.")</f>
        <v>n.a.</v>
      </c>
      <c r="AU48" s="41" t="s">
        <v>228</v>
      </c>
      <c r="AV48" s="77" t="str">
        <f>IFERROR(AW48-AU48,"n.a.")</f>
        <v>n.a.</v>
      </c>
      <c r="AW48" s="41" t="s">
        <v>228</v>
      </c>
      <c r="AX48" s="221"/>
      <c r="AY48" s="221"/>
      <c r="AZ48" s="41" t="s">
        <v>228</v>
      </c>
      <c r="BA48" s="41" t="str">
        <f>IFERROR(BB48-AZ48,"n.a.")</f>
        <v>n.a.</v>
      </c>
      <c r="BB48" s="41" t="s">
        <v>228</v>
      </c>
      <c r="BC48" s="41" t="s">
        <v>228</v>
      </c>
      <c r="BD48" s="41" t="s">
        <v>228</v>
      </c>
    </row>
    <row r="49" spans="1:56" s="27" customFormat="1" hidden="1" outlineLevel="1" x14ac:dyDescent="0.2">
      <c r="A49" s="25" t="s">
        <v>83</v>
      </c>
      <c r="B49" s="25"/>
      <c r="C49" s="26">
        <f t="shared" ref="C49:P49" si="26">IFERROR(C48/C63,"")</f>
        <v>0.1824297602826441</v>
      </c>
      <c r="D49" s="26">
        <f t="shared" si="26"/>
        <v>0.18674575512166228</v>
      </c>
      <c r="E49" s="26">
        <f t="shared" si="26"/>
        <v>0.18464571795886076</v>
      </c>
      <c r="F49" s="26">
        <f t="shared" si="26"/>
        <v>0.19140725434924125</v>
      </c>
      <c r="G49" s="26">
        <f t="shared" si="26"/>
        <v>0.18698001414283291</v>
      </c>
      <c r="H49" s="26">
        <f t="shared" si="26"/>
        <v>0.19018682205642068</v>
      </c>
      <c r="I49" s="26">
        <f t="shared" si="26"/>
        <v>0.18779835849076321</v>
      </c>
      <c r="J49" s="188">
        <f t="shared" si="26"/>
        <v>0.18732368915829259</v>
      </c>
      <c r="K49" s="188">
        <f t="shared" si="26"/>
        <v>0.18620583600960111</v>
      </c>
      <c r="L49" s="188">
        <f t="shared" si="26"/>
        <v>0.18676333953365393</v>
      </c>
      <c r="M49" s="188">
        <f t="shared" si="26"/>
        <v>0.1883109780881646</v>
      </c>
      <c r="N49" s="188">
        <f t="shared" si="26"/>
        <v>0.18728189585476765</v>
      </c>
      <c r="O49" s="188">
        <f t="shared" si="26"/>
        <v>0.17318107051327433</v>
      </c>
      <c r="P49" s="188">
        <f t="shared" si="26"/>
        <v>0.18382067740901256</v>
      </c>
      <c r="Q49" s="188">
        <f t="shared" ref="Q49:AI49" si="27">IFERROR(Q48/Q63,"")</f>
        <v>0.18582972591783031</v>
      </c>
      <c r="R49" s="188">
        <f t="shared" si="27"/>
        <v>0.18445470013469434</v>
      </c>
      <c r="S49" s="188">
        <f t="shared" si="27"/>
        <v>0.18513966140615676</v>
      </c>
      <c r="T49" s="188">
        <f t="shared" si="27"/>
        <v>0.2054407542238979</v>
      </c>
      <c r="U49" s="188">
        <f t="shared" si="27"/>
        <v>0.19183686675580047</v>
      </c>
      <c r="V49" s="188">
        <f t="shared" si="27"/>
        <v>0.19777432875330889</v>
      </c>
      <c r="W49" s="188">
        <f t="shared" si="27"/>
        <v>0.19328770013614491</v>
      </c>
      <c r="X49" s="188" t="str">
        <f t="shared" si="27"/>
        <v/>
      </c>
      <c r="Y49" s="188" t="str">
        <f t="shared" si="27"/>
        <v/>
      </c>
      <c r="Z49" s="188" t="str">
        <f t="shared" si="27"/>
        <v/>
      </c>
      <c r="AA49" s="188" t="str">
        <f t="shared" si="27"/>
        <v/>
      </c>
      <c r="AB49" s="188" t="str">
        <f t="shared" si="27"/>
        <v/>
      </c>
      <c r="AC49" s="188" t="str">
        <f t="shared" si="27"/>
        <v/>
      </c>
      <c r="AD49" s="188" t="str">
        <f t="shared" si="27"/>
        <v/>
      </c>
      <c r="AE49" s="188" t="str">
        <f t="shared" si="27"/>
        <v/>
      </c>
      <c r="AF49" s="188" t="str">
        <f t="shared" si="27"/>
        <v/>
      </c>
      <c r="AG49" s="188" t="str">
        <f t="shared" si="27"/>
        <v/>
      </c>
      <c r="AH49" s="188" t="str">
        <f t="shared" si="27"/>
        <v/>
      </c>
      <c r="AI49" s="188" t="str">
        <f t="shared" si="27"/>
        <v/>
      </c>
      <c r="AJ49" s="224"/>
      <c r="AK49" s="224"/>
      <c r="AL49" s="188" t="str">
        <f>IFERROR(AL48/AL63,"")</f>
        <v/>
      </c>
      <c r="AM49" s="188" t="str">
        <f>IFERROR(AM48/AM63,"")</f>
        <v/>
      </c>
      <c r="AN49" s="188" t="str">
        <f>IFERROR(AN48/AN63,"")</f>
        <v/>
      </c>
      <c r="AO49" s="188" t="str">
        <f>IFERROR(AO48/AO63,"")</f>
        <v/>
      </c>
      <c r="AP49" s="188" t="str">
        <f>IFERROR(AP48/AP63,"")</f>
        <v/>
      </c>
      <c r="AQ49" s="224"/>
      <c r="AR49" s="224"/>
      <c r="AS49" s="188" t="str">
        <f>IFERROR(AS48/AS63,"")</f>
        <v/>
      </c>
      <c r="AT49" s="188" t="str">
        <f>IFERROR(AT48/AT63,"")</f>
        <v/>
      </c>
      <c r="AU49" s="188" t="s">
        <v>380</v>
      </c>
      <c r="AV49" s="188" t="str">
        <f>IFERROR(AV48/AV63,"")</f>
        <v/>
      </c>
      <c r="AW49" s="188" t="str">
        <f>IFERROR(AW48/AW63,"")</f>
        <v/>
      </c>
      <c r="AX49" s="224"/>
      <c r="AY49" s="224"/>
      <c r="AZ49" s="188" t="str">
        <f>IFERROR(AZ48/AZ63,"")</f>
        <v/>
      </c>
      <c r="BA49" s="188" t="str">
        <f>IFERROR(BA48/BA63,"")</f>
        <v/>
      </c>
      <c r="BB49" s="188" t="s">
        <v>380</v>
      </c>
      <c r="BC49" s="188" t="str">
        <f>IFERROR(BC48/BC63,"")</f>
        <v/>
      </c>
      <c r="BD49" s="188" t="str">
        <f>IFERROR(BD48/BD63,"")</f>
        <v/>
      </c>
    </row>
    <row r="50" spans="1:56" hidden="1" outlineLevel="1" x14ac:dyDescent="0.2">
      <c r="C50" s="28"/>
      <c r="D50" s="28"/>
      <c r="E50" s="28"/>
      <c r="F50" s="28"/>
      <c r="G50" s="28"/>
      <c r="H50" s="28"/>
      <c r="I50" s="28"/>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row>
    <row r="51" spans="1:56" hidden="1" outlineLevel="1" x14ac:dyDescent="0.2">
      <c r="A51" s="14" t="s">
        <v>39</v>
      </c>
      <c r="B51" s="14"/>
      <c r="C51" s="24">
        <v>147.25399999999999</v>
      </c>
      <c r="D51" s="36">
        <f>IFERROR(E51-C51,"n.a.")</f>
        <v>173.56899999999999</v>
      </c>
      <c r="E51" s="24">
        <v>320.82299999999998</v>
      </c>
      <c r="F51" s="36">
        <f>IFERROR(G51-E51,"n.a.")</f>
        <v>185.387</v>
      </c>
      <c r="G51" s="24">
        <v>506.21</v>
      </c>
      <c r="H51" s="36">
        <f>IFERROR(I51-G51,"n.a.")</f>
        <v>206.35300000000001</v>
      </c>
      <c r="I51" s="31">
        <f>'Adj. Rev. detail - FY'!F53</f>
        <v>712.56299999999999</v>
      </c>
      <c r="J51" s="41">
        <v>186.476</v>
      </c>
      <c r="K51" s="77">
        <f>IFERROR(L51-J51,"n.a.")</f>
        <v>203.51400000000001</v>
      </c>
      <c r="L51" s="41">
        <v>389.99</v>
      </c>
      <c r="M51" s="77">
        <f>IFERROR(N51-L51,"n.a.")</f>
        <v>207.04399999999998</v>
      </c>
      <c r="N51" s="41">
        <v>597.03399999999999</v>
      </c>
      <c r="O51" s="77">
        <f>IFERROR(P51-N51,"n.a.")</f>
        <v>209.20600000000002</v>
      </c>
      <c r="P51" s="52">
        <f>'Adj. Rev. detail - FY'!G53</f>
        <v>806.24</v>
      </c>
      <c r="Q51" s="41">
        <v>197.26400000000001</v>
      </c>
      <c r="R51" s="77">
        <f>IFERROR(S51-Q51,"n.a.")</f>
        <v>234.166</v>
      </c>
      <c r="S51" s="41">
        <v>431.43</v>
      </c>
      <c r="T51" s="77">
        <f>IFERROR(U51-S51,"n.a.")</f>
        <v>240.88100000000003</v>
      </c>
      <c r="U51" s="41">
        <v>672.31100000000004</v>
      </c>
      <c r="V51" s="77">
        <f>IFERROR(W51-U51,"n.a.")</f>
        <v>217.93599999999992</v>
      </c>
      <c r="W51" s="52">
        <f>'Adj. Rev. detail - FY'!H53</f>
        <v>890.24699999999996</v>
      </c>
      <c r="X51" s="41" t="s">
        <v>228</v>
      </c>
      <c r="Y51" s="77" t="str">
        <f>IFERROR(Z51-X51,"n.a.")</f>
        <v>n.a.</v>
      </c>
      <c r="Z51" s="41" t="s">
        <v>228</v>
      </c>
      <c r="AA51" s="77" t="str">
        <f>IFERROR(AB51-Z51,"n.a.")</f>
        <v>n.a.</v>
      </c>
      <c r="AB51" s="41" t="s">
        <v>228</v>
      </c>
      <c r="AC51" s="77" t="str">
        <f>IFERROR(AD51-AB51,"n.a.")</f>
        <v>n.a.</v>
      </c>
      <c r="AD51" s="52" t="str">
        <f>'Adj. Rev. detail - FY'!I53</f>
        <v>n.a.</v>
      </c>
      <c r="AE51" s="41" t="s">
        <v>228</v>
      </c>
      <c r="AF51" s="77" t="str">
        <f>IFERROR(AG51-AE51,"n.a.")</f>
        <v>n.a.</v>
      </c>
      <c r="AG51" s="41" t="s">
        <v>228</v>
      </c>
      <c r="AH51" s="77" t="str">
        <f>IFERROR(AI51-AG51,"n.a.")</f>
        <v>n.a.</v>
      </c>
      <c r="AI51" s="41" t="s">
        <v>228</v>
      </c>
      <c r="AJ51" s="221"/>
      <c r="AK51" s="221"/>
      <c r="AL51" s="41" t="s">
        <v>228</v>
      </c>
      <c r="AM51" s="77" t="str">
        <f>IFERROR(AN51-AL51,"n.a.")</f>
        <v>n.a.</v>
      </c>
      <c r="AN51" s="41" t="s">
        <v>228</v>
      </c>
      <c r="AO51" s="77" t="str">
        <f>IFERROR(AP51-AN51,"n.a.")</f>
        <v>n.a.</v>
      </c>
      <c r="AP51" s="41" t="s">
        <v>228</v>
      </c>
      <c r="AQ51" s="221"/>
      <c r="AR51" s="221"/>
      <c r="AS51" s="41" t="s">
        <v>228</v>
      </c>
      <c r="AT51" s="41" t="str">
        <f>IFERROR(AU51-AS51,"n.a.")</f>
        <v>n.a.</v>
      </c>
      <c r="AU51" s="41" t="s">
        <v>228</v>
      </c>
      <c r="AV51" s="77" t="str">
        <f>IFERROR(AW51-AU51,"n.a.")</f>
        <v>n.a.</v>
      </c>
      <c r="AW51" s="41" t="s">
        <v>228</v>
      </c>
      <c r="AX51" s="221"/>
      <c r="AY51" s="221"/>
      <c r="AZ51" s="41" t="s">
        <v>228</v>
      </c>
      <c r="BA51" s="41" t="str">
        <f>IFERROR(BB51-AZ51,"n.a.")</f>
        <v>n.a.</v>
      </c>
      <c r="BB51" s="41" t="s">
        <v>228</v>
      </c>
      <c r="BC51" s="41" t="s">
        <v>228</v>
      </c>
      <c r="BD51" s="41" t="s">
        <v>228</v>
      </c>
    </row>
    <row r="52" spans="1:56" s="27" customFormat="1" hidden="1" outlineLevel="1" x14ac:dyDescent="0.2">
      <c r="A52" s="25" t="s">
        <v>172</v>
      </c>
      <c r="B52" s="25"/>
      <c r="C52" s="26">
        <f t="shared" ref="C52:P52" si="28">IFERROR(C51/C63,"")</f>
        <v>0.12470180353288185</v>
      </c>
      <c r="D52" s="26">
        <f t="shared" si="28"/>
        <v>0.13929749741378822</v>
      </c>
      <c r="E52" s="26">
        <f t="shared" si="28"/>
        <v>0.1321956586234177</v>
      </c>
      <c r="F52" s="26">
        <f t="shared" si="28"/>
        <v>0.14487988740152127</v>
      </c>
      <c r="G52" s="26">
        <f t="shared" si="28"/>
        <v>0.13657465551463913</v>
      </c>
      <c r="H52" s="26">
        <f t="shared" si="28"/>
        <v>0.16249227316573814</v>
      </c>
      <c r="I52" s="26">
        <f t="shared" si="28"/>
        <v>0.14318856457564874</v>
      </c>
      <c r="J52" s="188">
        <f t="shared" si="28"/>
        <v>0.13923871050599809</v>
      </c>
      <c r="K52" s="188">
        <f t="shared" si="28"/>
        <v>0.15118888693260707</v>
      </c>
      <c r="L52" s="188">
        <f t="shared" si="28"/>
        <v>0.14522901154227852</v>
      </c>
      <c r="M52" s="188">
        <f t="shared" si="28"/>
        <v>0.15300890514724896</v>
      </c>
      <c r="N52" s="188">
        <f t="shared" si="28"/>
        <v>0.14783576555127587</v>
      </c>
      <c r="O52" s="188">
        <f t="shared" si="28"/>
        <v>0.159239629740421</v>
      </c>
      <c r="P52" s="188">
        <f t="shared" si="28"/>
        <v>0.15063498220196417</v>
      </c>
      <c r="Q52" s="188">
        <f t="shared" ref="Q52:AI52" si="29">IFERROR(Q51/Q63,"")</f>
        <v>0.15055286568203052</v>
      </c>
      <c r="R52" s="188">
        <f t="shared" si="29"/>
        <v>0.17739499070472856</v>
      </c>
      <c r="S52" s="188">
        <f t="shared" si="29"/>
        <v>0.16402373882727764</v>
      </c>
      <c r="T52" s="188">
        <f t="shared" si="29"/>
        <v>0.18602372086054925</v>
      </c>
      <c r="U52" s="188">
        <f t="shared" si="29"/>
        <v>0.17128139725424338</v>
      </c>
      <c r="V52" s="188">
        <f t="shared" si="29"/>
        <v>0.17170049161729475</v>
      </c>
      <c r="W52" s="188">
        <f t="shared" si="29"/>
        <v>0.1713838039882459</v>
      </c>
      <c r="X52" s="188" t="str">
        <f t="shared" si="29"/>
        <v/>
      </c>
      <c r="Y52" s="188" t="str">
        <f t="shared" si="29"/>
        <v/>
      </c>
      <c r="Z52" s="188" t="str">
        <f t="shared" si="29"/>
        <v/>
      </c>
      <c r="AA52" s="188" t="str">
        <f t="shared" si="29"/>
        <v/>
      </c>
      <c r="AB52" s="188" t="str">
        <f t="shared" si="29"/>
        <v/>
      </c>
      <c r="AC52" s="188" t="str">
        <f t="shared" si="29"/>
        <v/>
      </c>
      <c r="AD52" s="188" t="str">
        <f t="shared" si="29"/>
        <v/>
      </c>
      <c r="AE52" s="188" t="str">
        <f t="shared" si="29"/>
        <v/>
      </c>
      <c r="AF52" s="188" t="str">
        <f t="shared" si="29"/>
        <v/>
      </c>
      <c r="AG52" s="188" t="str">
        <f t="shared" si="29"/>
        <v/>
      </c>
      <c r="AH52" s="188" t="str">
        <f t="shared" si="29"/>
        <v/>
      </c>
      <c r="AI52" s="188" t="str">
        <f t="shared" si="29"/>
        <v/>
      </c>
      <c r="AJ52" s="224"/>
      <c r="AK52" s="224"/>
      <c r="AL52" s="188" t="str">
        <f>IFERROR(AL51/AL63,"")</f>
        <v/>
      </c>
      <c r="AM52" s="188" t="str">
        <f>IFERROR(AM51/AM63,"")</f>
        <v/>
      </c>
      <c r="AN52" s="188" t="str">
        <f>IFERROR(AN51/AN63,"")</f>
        <v/>
      </c>
      <c r="AO52" s="188" t="str">
        <f>IFERROR(AO51/AO63,"")</f>
        <v/>
      </c>
      <c r="AP52" s="188" t="str">
        <f>IFERROR(AP51/AP63,"")</f>
        <v/>
      </c>
      <c r="AQ52" s="224"/>
      <c r="AR52" s="224"/>
      <c r="AS52" s="188" t="str">
        <f>IFERROR(AS51/AS63,"")</f>
        <v/>
      </c>
      <c r="AT52" s="188" t="str">
        <f>IFERROR(AT51/AT63,"")</f>
        <v/>
      </c>
      <c r="AU52" s="188" t="s">
        <v>380</v>
      </c>
      <c r="AV52" s="188" t="str">
        <f>IFERROR(AV51/AV63,"")</f>
        <v/>
      </c>
      <c r="AW52" s="188" t="str">
        <f>IFERROR(AW51/AW63,"")</f>
        <v/>
      </c>
      <c r="AX52" s="224"/>
      <c r="AY52" s="224"/>
      <c r="AZ52" s="188" t="str">
        <f>IFERROR(AZ51/AZ63,"")</f>
        <v/>
      </c>
      <c r="BA52" s="188" t="str">
        <f>IFERROR(BA51/BA63,"")</f>
        <v/>
      </c>
      <c r="BB52" s="188" t="s">
        <v>380</v>
      </c>
      <c r="BC52" s="188" t="str">
        <f>IFERROR(BC51/BC63,"")</f>
        <v/>
      </c>
      <c r="BD52" s="188" t="str">
        <f>IFERROR(BD51/BD63,"")</f>
        <v/>
      </c>
    </row>
    <row r="53" spans="1:56" hidden="1" outlineLevel="1" x14ac:dyDescent="0.2">
      <c r="C53" s="28"/>
      <c r="D53" s="28"/>
      <c r="E53" s="28"/>
      <c r="F53" s="28"/>
      <c r="G53" s="28"/>
      <c r="H53" s="28"/>
      <c r="I53" s="28"/>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row>
    <row r="54" spans="1:56" hidden="1" outlineLevel="1" x14ac:dyDescent="0.2">
      <c r="A54" s="14" t="s">
        <v>38</v>
      </c>
      <c r="B54" s="14"/>
      <c r="C54" s="24">
        <v>191.38200000000001</v>
      </c>
      <c r="D54" s="36">
        <f>IFERROR(E54-C54,"n.a.")</f>
        <v>200.41300000000001</v>
      </c>
      <c r="E54" s="24">
        <v>391.79500000000002</v>
      </c>
      <c r="F54" s="36">
        <f>IFERROR(G54-E54,"n.a.")</f>
        <v>219.88600000000002</v>
      </c>
      <c r="G54" s="24">
        <v>611.68100000000004</v>
      </c>
      <c r="H54" s="36">
        <f>IFERROR(I54-G54,"n.a.")</f>
        <v>212.57099999999991</v>
      </c>
      <c r="I54" s="31">
        <f>'Adj. Rev. detail - FY'!F56</f>
        <v>824.25199999999995</v>
      </c>
      <c r="J54" s="41">
        <v>227.291</v>
      </c>
      <c r="K54" s="77">
        <f>IFERROR(L54-J54,"n.a.")</f>
        <v>228.745</v>
      </c>
      <c r="L54" s="41">
        <v>456.036</v>
      </c>
      <c r="M54" s="77">
        <f>IFERROR(N54-L54,"n.a.")</f>
        <v>225.95200000000006</v>
      </c>
      <c r="N54" s="41">
        <v>681.98800000000006</v>
      </c>
      <c r="O54" s="77">
        <f>IFERROR(P54-N54,"n.a.")</f>
        <v>233.68899999999996</v>
      </c>
      <c r="P54" s="52">
        <f>'Adj. Rev. detail - FY'!G56</f>
        <v>915.67700000000002</v>
      </c>
      <c r="Q54" s="41">
        <v>189.297</v>
      </c>
      <c r="R54" s="77">
        <f>IFERROR(S54-Q54,"n.a.")</f>
        <v>165.631</v>
      </c>
      <c r="S54" s="41">
        <v>354.928</v>
      </c>
      <c r="T54" s="77">
        <f>IFERROR(U54-S54,"n.a.")</f>
        <v>144.45600000000002</v>
      </c>
      <c r="U54" s="41">
        <v>499.38400000000001</v>
      </c>
      <c r="V54" s="77">
        <f>IFERROR(W54-U54,"n.a.")</f>
        <v>192.49</v>
      </c>
      <c r="W54" s="52">
        <f>'Adj. Rev. detail - FY'!H56</f>
        <v>691.87400000000002</v>
      </c>
      <c r="X54" s="41" t="s">
        <v>228</v>
      </c>
      <c r="Y54" s="77" t="str">
        <f>IFERROR(Z54-X54,"n.a.")</f>
        <v>n.a.</v>
      </c>
      <c r="Z54" s="41" t="s">
        <v>228</v>
      </c>
      <c r="AA54" s="77" t="str">
        <f>IFERROR(AB54-Z54,"n.a.")</f>
        <v>n.a.</v>
      </c>
      <c r="AB54" s="41" t="s">
        <v>228</v>
      </c>
      <c r="AC54" s="77" t="str">
        <f>IFERROR(AD54-AB54,"n.a.")</f>
        <v>n.a.</v>
      </c>
      <c r="AD54" s="52" t="str">
        <f>'Adj. Rev. detail - FY'!I56</f>
        <v>n.a.</v>
      </c>
      <c r="AE54" s="41" t="s">
        <v>228</v>
      </c>
      <c r="AF54" s="77" t="str">
        <f>IFERROR(AG54-AE54,"n.a.")</f>
        <v>n.a.</v>
      </c>
      <c r="AG54" s="41" t="s">
        <v>228</v>
      </c>
      <c r="AH54" s="77" t="str">
        <f>IFERROR(AI54-AG54,"n.a.")</f>
        <v>n.a.</v>
      </c>
      <c r="AI54" s="41" t="s">
        <v>228</v>
      </c>
      <c r="AJ54" s="221"/>
      <c r="AK54" s="221"/>
      <c r="AL54" s="41" t="s">
        <v>228</v>
      </c>
      <c r="AM54" s="77" t="str">
        <f>IFERROR(AN54-AL54,"n.a.")</f>
        <v>n.a.</v>
      </c>
      <c r="AN54" s="41" t="s">
        <v>228</v>
      </c>
      <c r="AO54" s="77" t="str">
        <f>IFERROR(AP54-AN54,"n.a.")</f>
        <v>n.a.</v>
      </c>
      <c r="AP54" s="41" t="s">
        <v>228</v>
      </c>
      <c r="AQ54" s="221"/>
      <c r="AR54" s="221"/>
      <c r="AS54" s="41" t="s">
        <v>228</v>
      </c>
      <c r="AT54" s="41" t="str">
        <f>IFERROR(AU54-AS54,"n.a.")</f>
        <v>n.a.</v>
      </c>
      <c r="AU54" s="41" t="s">
        <v>228</v>
      </c>
      <c r="AV54" s="77" t="str">
        <f>IFERROR(AW54-AU54,"n.a.")</f>
        <v>n.a.</v>
      </c>
      <c r="AW54" s="41" t="s">
        <v>228</v>
      </c>
      <c r="AX54" s="221"/>
      <c r="AY54" s="221"/>
      <c r="AZ54" s="41" t="s">
        <v>228</v>
      </c>
      <c r="BA54" s="41" t="str">
        <f>IFERROR(BB54-AZ54,"n.a.")</f>
        <v>n.a.</v>
      </c>
      <c r="BB54" s="41" t="s">
        <v>228</v>
      </c>
      <c r="BC54" s="41" t="s">
        <v>228</v>
      </c>
      <c r="BD54" s="41" t="s">
        <v>228</v>
      </c>
    </row>
    <row r="55" spans="1:56" s="27" customFormat="1" hidden="1" outlineLevel="1" x14ac:dyDescent="0.2">
      <c r="A55" s="25" t="s">
        <v>84</v>
      </c>
      <c r="B55" s="25"/>
      <c r="C55" s="26">
        <f t="shared" ref="C55:P55" si="30">IFERROR(C54/C63,"")</f>
        <v>0.16207152650338869</v>
      </c>
      <c r="D55" s="26">
        <f t="shared" si="30"/>
        <v>0.16084110266919521</v>
      </c>
      <c r="E55" s="26">
        <f t="shared" si="30"/>
        <v>0.16143979100738395</v>
      </c>
      <c r="F55" s="26">
        <f t="shared" si="30"/>
        <v>0.17184084602032998</v>
      </c>
      <c r="G55" s="26">
        <f t="shared" si="30"/>
        <v>0.16503056411341141</v>
      </c>
      <c r="H55" s="26">
        <f t="shared" si="30"/>
        <v>0.16738862531251839</v>
      </c>
      <c r="I55" s="26">
        <f t="shared" si="30"/>
        <v>0.16563231704229325</v>
      </c>
      <c r="J55" s="188">
        <f t="shared" si="30"/>
        <v>0.16971463217582325</v>
      </c>
      <c r="K55" s="188">
        <f t="shared" si="30"/>
        <v>0.16993279057656577</v>
      </c>
      <c r="L55" s="188">
        <f t="shared" si="30"/>
        <v>0.16982398909637306</v>
      </c>
      <c r="M55" s="188">
        <f t="shared" si="30"/>
        <v>0.16698222665632043</v>
      </c>
      <c r="N55" s="188">
        <f t="shared" si="30"/>
        <v>0.16887181982396907</v>
      </c>
      <c r="O55" s="188">
        <f t="shared" si="30"/>
        <v>0.1778751557527472</v>
      </c>
      <c r="P55" s="188">
        <f t="shared" si="30"/>
        <v>0.17108179772493048</v>
      </c>
      <c r="Q55" s="188">
        <f t="shared" ref="Q55:AI55" si="31">IFERROR(Q54/Q63,"")</f>
        <v>0.1444724116666565</v>
      </c>
      <c r="R55" s="188">
        <f t="shared" si="31"/>
        <v>0.12547555881475064</v>
      </c>
      <c r="S55" s="188">
        <f t="shared" si="31"/>
        <v>0.13493873299141923</v>
      </c>
      <c r="T55" s="188">
        <f t="shared" si="31"/>
        <v>0.11155816615105178</v>
      </c>
      <c r="U55" s="188">
        <f t="shared" si="31"/>
        <v>0.12722562814889696</v>
      </c>
      <c r="V55" s="188">
        <f t="shared" si="31"/>
        <v>0.15165290558426822</v>
      </c>
      <c r="W55" s="188">
        <f t="shared" si="31"/>
        <v>0.13319449321431429</v>
      </c>
      <c r="X55" s="188" t="str">
        <f t="shared" si="31"/>
        <v/>
      </c>
      <c r="Y55" s="188" t="str">
        <f t="shared" si="31"/>
        <v/>
      </c>
      <c r="Z55" s="188" t="str">
        <f t="shared" si="31"/>
        <v/>
      </c>
      <c r="AA55" s="188" t="str">
        <f t="shared" si="31"/>
        <v/>
      </c>
      <c r="AB55" s="188" t="str">
        <f t="shared" si="31"/>
        <v/>
      </c>
      <c r="AC55" s="188" t="str">
        <f t="shared" si="31"/>
        <v/>
      </c>
      <c r="AD55" s="188" t="str">
        <f t="shared" si="31"/>
        <v/>
      </c>
      <c r="AE55" s="188" t="str">
        <f t="shared" si="31"/>
        <v/>
      </c>
      <c r="AF55" s="188" t="str">
        <f t="shared" si="31"/>
        <v/>
      </c>
      <c r="AG55" s="188" t="str">
        <f t="shared" si="31"/>
        <v/>
      </c>
      <c r="AH55" s="188" t="str">
        <f t="shared" si="31"/>
        <v/>
      </c>
      <c r="AI55" s="188" t="str">
        <f t="shared" si="31"/>
        <v/>
      </c>
      <c r="AJ55" s="224"/>
      <c r="AK55" s="224"/>
      <c r="AL55" s="188" t="str">
        <f>IFERROR(AL54/AL63,"")</f>
        <v/>
      </c>
      <c r="AM55" s="188" t="str">
        <f>IFERROR(AM54/AM63,"")</f>
        <v/>
      </c>
      <c r="AN55" s="188" t="str">
        <f>IFERROR(AN54/AN63,"")</f>
        <v/>
      </c>
      <c r="AO55" s="188" t="str">
        <f>IFERROR(AO54/AO63,"")</f>
        <v/>
      </c>
      <c r="AP55" s="188" t="str">
        <f>IFERROR(AP54/AP63,"")</f>
        <v/>
      </c>
      <c r="AQ55" s="224"/>
      <c r="AR55" s="224"/>
      <c r="AS55" s="188" t="str">
        <f>IFERROR(AS54/AS63,"")</f>
        <v/>
      </c>
      <c r="AT55" s="188" t="str">
        <f>IFERROR(AT54/AT63,"")</f>
        <v/>
      </c>
      <c r="AU55" s="188" t="s">
        <v>380</v>
      </c>
      <c r="AV55" s="188" t="str">
        <f>IFERROR(AV54/AV63,"")</f>
        <v/>
      </c>
      <c r="AW55" s="188" t="str">
        <f>IFERROR(AW54/AW63,"")</f>
        <v/>
      </c>
      <c r="AX55" s="224"/>
      <c r="AY55" s="224"/>
      <c r="AZ55" s="188" t="str">
        <f>IFERROR(AZ54/AZ63,"")</f>
        <v/>
      </c>
      <c r="BA55" s="188" t="str">
        <f>IFERROR(BA54/BA63,"")</f>
        <v/>
      </c>
      <c r="BB55" s="188" t="s">
        <v>380</v>
      </c>
      <c r="BC55" s="188" t="str">
        <f>IFERROR(BC54/BC63,"")</f>
        <v/>
      </c>
      <c r="BD55" s="188" t="str">
        <f>IFERROR(BD54/BD63,"")</f>
        <v/>
      </c>
    </row>
    <row r="56" spans="1:56" hidden="1" outlineLevel="1" x14ac:dyDescent="0.2">
      <c r="C56" s="28"/>
      <c r="D56" s="28"/>
      <c r="E56" s="28"/>
      <c r="F56" s="28"/>
      <c r="G56" s="28"/>
      <c r="H56" s="28"/>
      <c r="I56" s="28"/>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row>
    <row r="57" spans="1:56" hidden="1" outlineLevel="1" x14ac:dyDescent="0.2">
      <c r="A57" s="14" t="s">
        <v>40</v>
      </c>
      <c r="B57" s="14"/>
      <c r="C57" s="24">
        <v>35.622</v>
      </c>
      <c r="D57" s="36">
        <f>IFERROR(E57-C57,"n.a.")</f>
        <v>36.441000000000003</v>
      </c>
      <c r="E57" s="24">
        <v>72.063000000000002</v>
      </c>
      <c r="F57" s="36">
        <f>IFERROR(G57-E57,"n.a.")</f>
        <v>41.893999999999991</v>
      </c>
      <c r="G57" s="24">
        <v>113.95699999999999</v>
      </c>
      <c r="H57" s="36">
        <f>IFERROR(I57-G57,"n.a.")</f>
        <v>49.02200000000002</v>
      </c>
      <c r="I57" s="31">
        <f>'Adj. Rev. detail - FY'!F59</f>
        <v>162.97900000000001</v>
      </c>
      <c r="J57" s="41">
        <v>40.677999999999997</v>
      </c>
      <c r="K57" s="77">
        <f>IFERROR(L57-J57,"n.a.")</f>
        <v>44.341000000000008</v>
      </c>
      <c r="L57" s="41">
        <v>85.019000000000005</v>
      </c>
      <c r="M57" s="77">
        <f>IFERROR(N57-L57,"n.a.")</f>
        <v>33.962999999999994</v>
      </c>
      <c r="N57" s="41">
        <v>118.982</v>
      </c>
      <c r="O57" s="77">
        <f>IFERROR(P57-N57,"n.a.")</f>
        <v>40.608000000000004</v>
      </c>
      <c r="P57" s="52">
        <f>'Adj. Rev. detail - FY'!G59</f>
        <v>159.59</v>
      </c>
      <c r="Q57" s="41">
        <v>45.042999999999999</v>
      </c>
      <c r="R57" s="77">
        <f>IFERROR(S57-Q57,"n.a.")</f>
        <v>43.735000000000007</v>
      </c>
      <c r="S57" s="41">
        <v>88.778000000000006</v>
      </c>
      <c r="T57" s="77">
        <f>IFERROR(U57-S57,"n.a.")</f>
        <v>34.926999999999992</v>
      </c>
      <c r="U57" s="41">
        <v>123.705</v>
      </c>
      <c r="V57" s="77">
        <f>IFERROR(W57-U57,"n.a.")</f>
        <v>43.297000000000011</v>
      </c>
      <c r="W57" s="52">
        <f>'Adj. Rev. detail - FY'!H59</f>
        <v>167.00200000000001</v>
      </c>
      <c r="X57" s="41" t="s">
        <v>228</v>
      </c>
      <c r="Y57" s="77" t="str">
        <f>IFERROR(Z57-X57,"n.a.")</f>
        <v>n.a.</v>
      </c>
      <c r="Z57" s="41" t="s">
        <v>228</v>
      </c>
      <c r="AA57" s="77" t="str">
        <f>IFERROR(AB57-Z57,"n.a.")</f>
        <v>n.a.</v>
      </c>
      <c r="AB57" s="41" t="s">
        <v>228</v>
      </c>
      <c r="AC57" s="77" t="str">
        <f>IFERROR(AD57-AB57,"n.a.")</f>
        <v>n.a.</v>
      </c>
      <c r="AD57" s="52" t="str">
        <f>'Adj. Rev. detail - FY'!I59</f>
        <v>n.a.</v>
      </c>
      <c r="AE57" s="41" t="s">
        <v>228</v>
      </c>
      <c r="AF57" s="77" t="str">
        <f>IFERROR(AG57-AE57,"n.a.")</f>
        <v>n.a.</v>
      </c>
      <c r="AG57" s="41" t="s">
        <v>228</v>
      </c>
      <c r="AH57" s="77" t="str">
        <f>IFERROR(AI57-AG57,"n.a.")</f>
        <v>n.a.</v>
      </c>
      <c r="AI57" s="41" t="s">
        <v>228</v>
      </c>
      <c r="AJ57" s="221"/>
      <c r="AK57" s="221"/>
      <c r="AL57" s="41" t="s">
        <v>228</v>
      </c>
      <c r="AM57" s="77" t="str">
        <f>IFERROR(AN57-AL57,"n.a.")</f>
        <v>n.a.</v>
      </c>
      <c r="AN57" s="41" t="s">
        <v>228</v>
      </c>
      <c r="AO57" s="77" t="str">
        <f>IFERROR(AP57-AN57,"n.a.")</f>
        <v>n.a.</v>
      </c>
      <c r="AP57" s="41" t="s">
        <v>228</v>
      </c>
      <c r="AQ57" s="221"/>
      <c r="AR57" s="221"/>
      <c r="AS57" s="41" t="s">
        <v>228</v>
      </c>
      <c r="AT57" s="41" t="str">
        <f>IFERROR(AU57-AS57,"n.a.")</f>
        <v>n.a.</v>
      </c>
      <c r="AU57" s="41" t="s">
        <v>228</v>
      </c>
      <c r="AV57" s="77" t="str">
        <f>IFERROR(AW57-AU57,"n.a.")</f>
        <v>n.a.</v>
      </c>
      <c r="AW57" s="41" t="s">
        <v>228</v>
      </c>
      <c r="AX57" s="221"/>
      <c r="AY57" s="221"/>
      <c r="AZ57" s="41" t="s">
        <v>228</v>
      </c>
      <c r="BA57" s="41" t="str">
        <f>IFERROR(BB57-AZ57,"n.a.")</f>
        <v>n.a.</v>
      </c>
      <c r="BB57" s="41" t="s">
        <v>228</v>
      </c>
      <c r="BC57" s="41" t="s">
        <v>228</v>
      </c>
      <c r="BD57" s="41" t="s">
        <v>228</v>
      </c>
    </row>
    <row r="58" spans="1:56" s="27" customFormat="1" hidden="1" outlineLevel="1" x14ac:dyDescent="0.2">
      <c r="A58" s="25" t="s">
        <v>85</v>
      </c>
      <c r="B58" s="25"/>
      <c r="C58" s="26">
        <f t="shared" ref="C58:P58" si="32">IFERROR(C57/C63,"")</f>
        <v>3.0166431101690396E-2</v>
      </c>
      <c r="D58" s="26">
        <f t="shared" si="32"/>
        <v>2.9245660822242784E-2</v>
      </c>
      <c r="E58" s="26">
        <f t="shared" si="32"/>
        <v>2.9693680775316457E-2</v>
      </c>
      <c r="F58" s="26">
        <f t="shared" si="32"/>
        <v>3.2740149000735387E-2</v>
      </c>
      <c r="G58" s="26">
        <f t="shared" si="32"/>
        <v>3.0745417946073234E-2</v>
      </c>
      <c r="H58" s="26">
        <f t="shared" si="32"/>
        <v>3.8602279662184789E-2</v>
      </c>
      <c r="I58" s="26">
        <f t="shared" si="32"/>
        <v>3.2750408126684456E-2</v>
      </c>
      <c r="J58" s="188">
        <f t="shared" si="32"/>
        <v>3.0373625914128309E-2</v>
      </c>
      <c r="K58" s="188">
        <f t="shared" si="32"/>
        <v>3.2940566425301118E-2</v>
      </c>
      <c r="L58" s="188">
        <f t="shared" si="32"/>
        <v>3.1660363938339389E-2</v>
      </c>
      <c r="M58" s="188">
        <f t="shared" si="32"/>
        <v>2.5099212947566778E-2</v>
      </c>
      <c r="N58" s="188">
        <f t="shared" si="32"/>
        <v>2.9461965410381832E-2</v>
      </c>
      <c r="O58" s="188">
        <f t="shared" si="32"/>
        <v>3.0909261132563193E-2</v>
      </c>
      <c r="P58" s="188">
        <f t="shared" si="32"/>
        <v>2.9817221682887803E-2</v>
      </c>
      <c r="Q58" s="188">
        <f t="shared" ref="Q58:AI58" si="33">IFERROR(Q57/Q63,"")</f>
        <v>3.4377041573301258E-2</v>
      </c>
      <c r="R58" s="188">
        <f t="shared" si="33"/>
        <v>3.3131923159089298E-2</v>
      </c>
      <c r="S58" s="188">
        <f t="shared" si="33"/>
        <v>3.3752171813754388E-2</v>
      </c>
      <c r="T58" s="188">
        <f t="shared" si="33"/>
        <v>2.6972864188111151E-2</v>
      </c>
      <c r="U58" s="188">
        <f t="shared" si="33"/>
        <v>3.1515720027392342E-2</v>
      </c>
      <c r="V58" s="188">
        <f t="shared" si="33"/>
        <v>3.4111464767427206E-2</v>
      </c>
      <c r="W58" s="188">
        <f t="shared" si="33"/>
        <v>3.2149996611777455E-2</v>
      </c>
      <c r="X58" s="188" t="str">
        <f t="shared" si="33"/>
        <v/>
      </c>
      <c r="Y58" s="188" t="str">
        <f t="shared" si="33"/>
        <v/>
      </c>
      <c r="Z58" s="188" t="str">
        <f t="shared" si="33"/>
        <v/>
      </c>
      <c r="AA58" s="188" t="str">
        <f t="shared" si="33"/>
        <v/>
      </c>
      <c r="AB58" s="188" t="str">
        <f t="shared" si="33"/>
        <v/>
      </c>
      <c r="AC58" s="188" t="str">
        <f t="shared" si="33"/>
        <v/>
      </c>
      <c r="AD58" s="188" t="str">
        <f t="shared" si="33"/>
        <v/>
      </c>
      <c r="AE58" s="188" t="str">
        <f t="shared" si="33"/>
        <v/>
      </c>
      <c r="AF58" s="188" t="str">
        <f t="shared" si="33"/>
        <v/>
      </c>
      <c r="AG58" s="188" t="str">
        <f t="shared" si="33"/>
        <v/>
      </c>
      <c r="AH58" s="188" t="str">
        <f t="shared" si="33"/>
        <v/>
      </c>
      <c r="AI58" s="188" t="str">
        <f t="shared" si="33"/>
        <v/>
      </c>
      <c r="AJ58" s="224"/>
      <c r="AK58" s="224"/>
      <c r="AL58" s="188" t="str">
        <f>IFERROR(AL57/AL63,"")</f>
        <v/>
      </c>
      <c r="AM58" s="188" t="str">
        <f>IFERROR(AM57/AM63,"")</f>
        <v/>
      </c>
      <c r="AN58" s="188" t="str">
        <f>IFERROR(AN57/AN63,"")</f>
        <v/>
      </c>
      <c r="AO58" s="188" t="str">
        <f>IFERROR(AO57/AO63,"")</f>
        <v/>
      </c>
      <c r="AP58" s="188" t="str">
        <f>IFERROR(AP57/AP63,"")</f>
        <v/>
      </c>
      <c r="AQ58" s="224"/>
      <c r="AR58" s="224"/>
      <c r="AS58" s="188" t="str">
        <f>IFERROR(AS57/AS63,"")</f>
        <v/>
      </c>
      <c r="AT58" s="188" t="str">
        <f>IFERROR(AT57/AT63,"")</f>
        <v/>
      </c>
      <c r="AU58" s="188" t="s">
        <v>380</v>
      </c>
      <c r="AV58" s="188" t="str">
        <f>IFERROR(AV57/AV63,"")</f>
        <v/>
      </c>
      <c r="AW58" s="188" t="str">
        <f>IFERROR(AW57/AW63,"")</f>
        <v/>
      </c>
      <c r="AX58" s="224"/>
      <c r="AY58" s="224"/>
      <c r="AZ58" s="188" t="str">
        <f>IFERROR(AZ57/AZ63,"")</f>
        <v/>
      </c>
      <c r="BA58" s="188" t="str">
        <f>IFERROR(BA57/BA63,"")</f>
        <v/>
      </c>
      <c r="BB58" s="188" t="s">
        <v>380</v>
      </c>
      <c r="BC58" s="188" t="str">
        <f>IFERROR(BC57/BC63,"")</f>
        <v/>
      </c>
      <c r="BD58" s="188" t="str">
        <f>IFERROR(BD57/BD63,"")</f>
        <v/>
      </c>
    </row>
    <row r="59" spans="1:56" hidden="1" outlineLevel="1" x14ac:dyDescent="0.2">
      <c r="C59" s="28"/>
      <c r="D59" s="28"/>
      <c r="E59" s="28"/>
      <c r="F59" s="28"/>
      <c r="G59" s="28"/>
      <c r="H59" s="28"/>
      <c r="I59" s="28"/>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row>
    <row r="60" spans="1:56" hidden="1" outlineLevel="1" x14ac:dyDescent="0.2">
      <c r="A60" s="14" t="s">
        <v>41</v>
      </c>
      <c r="B60" s="14"/>
      <c r="C60" s="24">
        <v>62.454999999999998</v>
      </c>
      <c r="D60" s="36">
        <f>IFERROR(E60-C60,"n.a.")</f>
        <v>65.661000000000016</v>
      </c>
      <c r="E60" s="24">
        <v>128.11600000000001</v>
      </c>
      <c r="F60" s="36">
        <f>IFERROR(G60-E60,"n.a.")</f>
        <v>62.170999999999992</v>
      </c>
      <c r="G60" s="24">
        <v>190.28700000000001</v>
      </c>
      <c r="H60" s="36">
        <f>IFERROR(I60-G60,"n.a.")</f>
        <v>59.055000000000007</v>
      </c>
      <c r="I60" s="31">
        <f>'Adj. Rev. detail - FY'!F62</f>
        <v>249.34200000000001</v>
      </c>
      <c r="J60" s="41">
        <v>63.959000000000003</v>
      </c>
      <c r="K60" s="77">
        <f>IFERROR(L60-J60,"n.a.")</f>
        <v>59.266999999999996</v>
      </c>
      <c r="L60" s="41">
        <v>123.226</v>
      </c>
      <c r="M60" s="77">
        <f>IFERROR(N60-L60,"n.a.")</f>
        <v>62.871000000000009</v>
      </c>
      <c r="N60" s="41">
        <v>186.09700000000001</v>
      </c>
      <c r="O60" s="77">
        <f>IFERROR(P60-N60,"n.a.")</f>
        <v>62.850999999999999</v>
      </c>
      <c r="P60" s="52">
        <f>'Adj. Rev. detail - FY'!G62</f>
        <v>248.94800000000001</v>
      </c>
      <c r="Q60" s="41">
        <v>57.695</v>
      </c>
      <c r="R60" s="77">
        <f>IFERROR(S60-Q60,"n.a.")</f>
        <v>55.116999999999997</v>
      </c>
      <c r="S60" s="41">
        <v>112.812</v>
      </c>
      <c r="T60" s="77">
        <f>IFERROR(U60-S60,"n.a.")</f>
        <v>49.406999999999996</v>
      </c>
      <c r="U60" s="41">
        <v>162.21899999999999</v>
      </c>
      <c r="V60" s="77">
        <f>IFERROR(W60-U60,"n.a.")</f>
        <v>44.930000000000007</v>
      </c>
      <c r="W60" s="52">
        <f>'Adj. Rev. detail - FY'!H62</f>
        <v>207.149</v>
      </c>
      <c r="X60" s="41" t="s">
        <v>228</v>
      </c>
      <c r="Y60" s="77" t="str">
        <f>IFERROR(Z60-X60,"n.a.")</f>
        <v>n.a.</v>
      </c>
      <c r="Z60" s="41" t="s">
        <v>228</v>
      </c>
      <c r="AA60" s="77" t="str">
        <f>IFERROR(AB60-Z60,"n.a.")</f>
        <v>n.a.</v>
      </c>
      <c r="AB60" s="41" t="s">
        <v>228</v>
      </c>
      <c r="AC60" s="77" t="str">
        <f>IFERROR(AD60-AB60,"n.a.")</f>
        <v>n.a.</v>
      </c>
      <c r="AD60" s="52" t="str">
        <f>'Adj. Rev. detail - FY'!I62</f>
        <v>n.a.</v>
      </c>
      <c r="AE60" s="41" t="s">
        <v>228</v>
      </c>
      <c r="AF60" s="77" t="str">
        <f>IFERROR(AG60-AE60,"n.a.")</f>
        <v>n.a.</v>
      </c>
      <c r="AG60" s="41" t="s">
        <v>228</v>
      </c>
      <c r="AH60" s="77" t="str">
        <f>IFERROR(AI60-AG60,"n.a.")</f>
        <v>n.a.</v>
      </c>
      <c r="AI60" s="41" t="s">
        <v>228</v>
      </c>
      <c r="AJ60" s="221"/>
      <c r="AK60" s="221"/>
      <c r="AL60" s="41" t="s">
        <v>228</v>
      </c>
      <c r="AM60" s="77" t="str">
        <f>IFERROR(AN60-AL60,"n.a.")</f>
        <v>n.a.</v>
      </c>
      <c r="AN60" s="41" t="s">
        <v>228</v>
      </c>
      <c r="AO60" s="77" t="str">
        <f>IFERROR(AP60-AN60,"n.a.")</f>
        <v>n.a.</v>
      </c>
      <c r="AP60" s="41" t="s">
        <v>228</v>
      </c>
      <c r="AQ60" s="221"/>
      <c r="AR60" s="221"/>
      <c r="AS60" s="41" t="s">
        <v>228</v>
      </c>
      <c r="AT60" s="41" t="str">
        <f>IFERROR(AU60-AS60,"n.a.")</f>
        <v>n.a.</v>
      </c>
      <c r="AU60" s="41" t="s">
        <v>228</v>
      </c>
      <c r="AV60" s="77" t="str">
        <f>IFERROR(AW60-AU60,"n.a.")</f>
        <v>n.a.</v>
      </c>
      <c r="AW60" s="41" t="s">
        <v>228</v>
      </c>
      <c r="AX60" s="221"/>
      <c r="AY60" s="221"/>
      <c r="AZ60" s="41" t="s">
        <v>228</v>
      </c>
      <c r="BA60" s="41" t="str">
        <f>IFERROR(BB60-AZ60,"n.a.")</f>
        <v>n.a.</v>
      </c>
      <c r="BB60" s="41" t="s">
        <v>228</v>
      </c>
      <c r="BC60" s="41" t="s">
        <v>228</v>
      </c>
      <c r="BD60" s="41" t="s">
        <v>228</v>
      </c>
    </row>
    <row r="61" spans="1:56" s="27" customFormat="1" hidden="1" outlineLevel="1" x14ac:dyDescent="0.2">
      <c r="A61" s="25" t="s">
        <v>86</v>
      </c>
      <c r="B61" s="25"/>
      <c r="C61" s="26">
        <f t="shared" ref="C61:P61" si="34">IFERROR(C60/C63,"")</f>
        <v>5.2889912258044847E-2</v>
      </c>
      <c r="D61" s="26">
        <f t="shared" si="34"/>
        <v>5.2696120722518142E-2</v>
      </c>
      <c r="E61" s="26">
        <f t="shared" si="34"/>
        <v>5.2790414029535868E-2</v>
      </c>
      <c r="F61" s="26">
        <f t="shared" si="34"/>
        <v>4.8586618693004249E-2</v>
      </c>
      <c r="G61" s="26">
        <f t="shared" si="34"/>
        <v>5.1339130941534424E-2</v>
      </c>
      <c r="H61" s="26">
        <f t="shared" si="34"/>
        <v>4.6502746225170782E-2</v>
      </c>
      <c r="I61" s="26">
        <f t="shared" si="34"/>
        <v>5.0104935378936892E-2</v>
      </c>
      <c r="J61" s="188">
        <f t="shared" si="34"/>
        <v>4.7757184223455741E-2</v>
      </c>
      <c r="K61" s="188">
        <f t="shared" si="34"/>
        <v>4.4028969809619102E-2</v>
      </c>
      <c r="L61" s="188">
        <f t="shared" si="34"/>
        <v>4.5888330922097521E-2</v>
      </c>
      <c r="M61" s="188">
        <f t="shared" si="34"/>
        <v>4.6462698148763991E-2</v>
      </c>
      <c r="N61" s="188">
        <f t="shared" si="34"/>
        <v>4.6080780092583991E-2</v>
      </c>
      <c r="O61" s="188">
        <f t="shared" si="34"/>
        <v>4.7839784560744905E-2</v>
      </c>
      <c r="P61" s="188">
        <f t="shared" si="34"/>
        <v>4.6512549053897824E-2</v>
      </c>
      <c r="Q61" s="188">
        <f t="shared" ref="Q61:AI61" si="35">IFERROR(Q60/Q63,"")</f>
        <v>4.4033110884524038E-2</v>
      </c>
      <c r="R61" s="188">
        <f t="shared" si="35"/>
        <v>4.1754480593564069E-2</v>
      </c>
      <c r="S61" s="188">
        <f t="shared" si="35"/>
        <v>4.2889567310068481E-2</v>
      </c>
      <c r="T61" s="188">
        <f t="shared" si="35"/>
        <v>3.8155246684284584E-2</v>
      </c>
      <c r="U61" s="188">
        <f t="shared" si="35"/>
        <v>4.1327744126135227E-2</v>
      </c>
      <c r="V61" s="188">
        <f t="shared" si="35"/>
        <v>3.5398020925248963E-2</v>
      </c>
      <c r="W61" s="188">
        <f t="shared" si="35"/>
        <v>3.9878801739698259E-2</v>
      </c>
      <c r="X61" s="188" t="str">
        <f t="shared" si="35"/>
        <v/>
      </c>
      <c r="Y61" s="188" t="str">
        <f t="shared" si="35"/>
        <v/>
      </c>
      <c r="Z61" s="188" t="str">
        <f t="shared" si="35"/>
        <v/>
      </c>
      <c r="AA61" s="188" t="str">
        <f t="shared" si="35"/>
        <v/>
      </c>
      <c r="AB61" s="188" t="str">
        <f t="shared" si="35"/>
        <v/>
      </c>
      <c r="AC61" s="188" t="str">
        <f t="shared" si="35"/>
        <v/>
      </c>
      <c r="AD61" s="188" t="str">
        <f t="shared" si="35"/>
        <v/>
      </c>
      <c r="AE61" s="188" t="str">
        <f t="shared" si="35"/>
        <v/>
      </c>
      <c r="AF61" s="188" t="str">
        <f t="shared" si="35"/>
        <v/>
      </c>
      <c r="AG61" s="188" t="str">
        <f t="shared" si="35"/>
        <v/>
      </c>
      <c r="AH61" s="188" t="str">
        <f t="shared" si="35"/>
        <v/>
      </c>
      <c r="AI61" s="188" t="str">
        <f t="shared" si="35"/>
        <v/>
      </c>
      <c r="AJ61" s="224"/>
      <c r="AK61" s="224"/>
      <c r="AL61" s="188" t="str">
        <f>IFERROR(AL60/AL63,"")</f>
        <v/>
      </c>
      <c r="AM61" s="188" t="str">
        <f>IFERROR(AM60/AM63,"")</f>
        <v/>
      </c>
      <c r="AN61" s="188" t="str">
        <f>IFERROR(AN60/AN63,"")</f>
        <v/>
      </c>
      <c r="AO61" s="188" t="str">
        <f>IFERROR(AO60/AO63,"")</f>
        <v/>
      </c>
      <c r="AP61" s="188" t="str">
        <f>IFERROR(AP60/AP63,"")</f>
        <v/>
      </c>
      <c r="AQ61" s="224"/>
      <c r="AR61" s="224"/>
      <c r="AS61" s="188" t="str">
        <f>IFERROR(AS60/AS63,"")</f>
        <v/>
      </c>
      <c r="AT61" s="188" t="str">
        <f>IFERROR(AT60/AT63,"")</f>
        <v/>
      </c>
      <c r="AU61" s="188" t="s">
        <v>380</v>
      </c>
      <c r="AV61" s="188" t="str">
        <f>IFERROR(AV60/AV63,"")</f>
        <v/>
      </c>
      <c r="AW61" s="188" t="str">
        <f>IFERROR(AW60/AW63,"")</f>
        <v/>
      </c>
      <c r="AX61" s="224"/>
      <c r="AY61" s="224"/>
      <c r="AZ61" s="188" t="str">
        <f>IFERROR(AZ60/AZ63,"")</f>
        <v/>
      </c>
      <c r="BA61" s="188" t="str">
        <f>IFERROR(BA60/BA63,"")</f>
        <v/>
      </c>
      <c r="BB61" s="188" t="s">
        <v>380</v>
      </c>
      <c r="BC61" s="188" t="str">
        <f>IFERROR(BC60/BC63,"")</f>
        <v/>
      </c>
      <c r="BD61" s="188" t="str">
        <f>IFERROR(BD60/BD63,"")</f>
        <v/>
      </c>
    </row>
    <row r="62" spans="1:56" hidden="1" outlineLevel="1" x14ac:dyDescent="0.2">
      <c r="C62" s="28"/>
      <c r="D62" s="28"/>
      <c r="E62" s="28"/>
      <c r="F62" s="28"/>
      <c r="G62" s="28"/>
      <c r="H62" s="28"/>
      <c r="I62" s="28"/>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row>
    <row r="63" spans="1:56" s="22" customFormat="1" hidden="1" outlineLevel="1" x14ac:dyDescent="0.2">
      <c r="A63" s="99" t="s">
        <v>29</v>
      </c>
      <c r="B63" s="99"/>
      <c r="C63" s="106">
        <f t="shared" ref="C63:W63" si="36">IFERROR(C45+C48+C54+C51+C57+C60,"n.a.")</f>
        <v>1180.8489999999999</v>
      </c>
      <c r="D63" s="106">
        <f t="shared" si="36"/>
        <v>1246.0310000000002</v>
      </c>
      <c r="E63" s="106">
        <f t="shared" si="36"/>
        <v>2426.88</v>
      </c>
      <c r="F63" s="106">
        <f t="shared" si="36"/>
        <v>1279.5909999999999</v>
      </c>
      <c r="G63" s="106">
        <f t="shared" si="36"/>
        <v>3706.4709999999995</v>
      </c>
      <c r="H63" s="106">
        <f t="shared" si="36"/>
        <v>1269.925</v>
      </c>
      <c r="I63" s="106">
        <f t="shared" si="36"/>
        <v>4976.3959999999997</v>
      </c>
      <c r="J63" s="100">
        <f t="shared" si="36"/>
        <v>1339.2540000000001</v>
      </c>
      <c r="K63" s="100">
        <f t="shared" si="36"/>
        <v>1346.0910000000001</v>
      </c>
      <c r="L63" s="100">
        <f t="shared" si="36"/>
        <v>2685.3450000000007</v>
      </c>
      <c r="M63" s="100">
        <f t="shared" si="36"/>
        <v>1353.1500000000003</v>
      </c>
      <c r="N63" s="100">
        <f t="shared" si="36"/>
        <v>4038.4950000000008</v>
      </c>
      <c r="O63" s="100">
        <f t="shared" si="36"/>
        <v>1313.7809999999999</v>
      </c>
      <c r="P63" s="100">
        <f t="shared" si="36"/>
        <v>5352.2759999999998</v>
      </c>
      <c r="Q63" s="100">
        <f t="shared" si="36"/>
        <v>1310.2639999999999</v>
      </c>
      <c r="R63" s="100">
        <f t="shared" si="36"/>
        <v>1320.0259999999998</v>
      </c>
      <c r="S63" s="100">
        <f t="shared" si="36"/>
        <v>2630.2899999999995</v>
      </c>
      <c r="T63" s="100">
        <f t="shared" si="36"/>
        <v>1294.8939999999998</v>
      </c>
      <c r="U63" s="100">
        <f t="shared" si="36"/>
        <v>3925.1840000000002</v>
      </c>
      <c r="V63" s="100">
        <f t="shared" si="36"/>
        <v>1269.2800000000002</v>
      </c>
      <c r="W63" s="100">
        <f t="shared" si="36"/>
        <v>5194.4640000000009</v>
      </c>
      <c r="X63" s="100">
        <f>X36</f>
        <v>1313.8029999999999</v>
      </c>
      <c r="Y63" s="100">
        <f>Y36</f>
        <v>1341.0420000000004</v>
      </c>
      <c r="Z63" s="100">
        <f>Z36</f>
        <v>2654.8450000000003</v>
      </c>
      <c r="AA63" s="100" t="str">
        <f>IFERROR(AA45+AA48+AA54+AA51+AA57+AA60,"n.a.")</f>
        <v>n.a.</v>
      </c>
      <c r="AB63" s="100" t="str">
        <f>IFERROR(AB45+AB48+AB54+AB51+AB57+AB60,"n.a.")</f>
        <v>n.a.</v>
      </c>
      <c r="AC63" s="100" t="str">
        <f>IFERROR(AC45+AC48+AC54+AC51+AC57+AC60,"n.a.")</f>
        <v>n.a.</v>
      </c>
      <c r="AD63" s="100" t="str">
        <f>IFERROR(AD45+AD48+AD54+AD51+AD57+AD60,"n.a.")</f>
        <v>n.a.</v>
      </c>
      <c r="AE63" s="100" t="str">
        <f>AE36</f>
        <v>n.a.</v>
      </c>
      <c r="AF63" s="100" t="str">
        <f>AF36</f>
        <v>n.a.</v>
      </c>
      <c r="AG63" s="100" t="str">
        <f>AG36</f>
        <v>n.a.</v>
      </c>
      <c r="AH63" s="100" t="str">
        <f>AH36</f>
        <v>n.a.</v>
      </c>
      <c r="AI63" s="100" t="str">
        <f>AI36</f>
        <v>n.a.</v>
      </c>
      <c r="AJ63" s="222"/>
      <c r="AK63" s="222"/>
      <c r="AL63" s="100" t="str">
        <f>AL36</f>
        <v>n.a.</v>
      </c>
      <c r="AM63" s="100" t="str">
        <f>AM36</f>
        <v>n.a.</v>
      </c>
      <c r="AN63" s="100" t="str">
        <f>AN36</f>
        <v>n.a.</v>
      </c>
      <c r="AO63" s="100" t="str">
        <f>AO36</f>
        <v>n.a.</v>
      </c>
      <c r="AP63" s="100" t="str">
        <f>AP36</f>
        <v>n.a.</v>
      </c>
      <c r="AQ63" s="222"/>
      <c r="AR63" s="222"/>
      <c r="AS63" s="100" t="str">
        <f>AS36</f>
        <v>n.a.</v>
      </c>
      <c r="AT63" s="100" t="str">
        <f>AT36</f>
        <v>n.a.</v>
      </c>
      <c r="AU63" s="100" t="s">
        <v>228</v>
      </c>
      <c r="AV63" s="100" t="str">
        <f>AV36</f>
        <v>n.a.</v>
      </c>
      <c r="AW63" s="100" t="str">
        <f>AW36</f>
        <v>n.a.</v>
      </c>
      <c r="AX63" s="222"/>
      <c r="AY63" s="222"/>
      <c r="AZ63" s="100" t="str">
        <f>AZ36</f>
        <v>n.a.</v>
      </c>
      <c r="BA63" s="100" t="str">
        <f>BA36</f>
        <v>n.a.</v>
      </c>
      <c r="BB63" s="100" t="s">
        <v>228</v>
      </c>
      <c r="BC63" s="100" t="str">
        <f>BC36</f>
        <v>n.a.</v>
      </c>
      <c r="BD63" s="100" t="str">
        <f>BD36</f>
        <v>n.a.</v>
      </c>
    </row>
    <row r="64" spans="1:56" hidden="1" outlineLevel="1" x14ac:dyDescent="0.2">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row>
    <row r="65" spans="1:56" s="27" customFormat="1" hidden="1" outlineLevel="1" x14ac:dyDescent="0.2">
      <c r="A65" s="25" t="s">
        <v>269</v>
      </c>
      <c r="B65" s="25"/>
      <c r="C65" s="26">
        <f t="shared" ref="C65:I65" si="37">IFERROR((C45+C48+C51)/C63,"n.a.")</f>
        <v>0.75487213013687626</v>
      </c>
      <c r="D65" s="26">
        <f t="shared" si="37"/>
        <v>0.75721711578604367</v>
      </c>
      <c r="E65" s="26">
        <f t="shared" si="37"/>
        <v>0.75607611418776366</v>
      </c>
      <c r="F65" s="26">
        <f t="shared" si="37"/>
        <v>0.74683238628593041</v>
      </c>
      <c r="G65" s="26">
        <f t="shared" si="37"/>
        <v>0.75288488699898104</v>
      </c>
      <c r="H65" s="26">
        <f t="shared" si="37"/>
        <v>0.74750634880012601</v>
      </c>
      <c r="I65" s="26">
        <f t="shared" si="37"/>
        <v>0.75151233945208551</v>
      </c>
      <c r="J65" s="188">
        <f>IFERROR((J45+J48+J51)/J63,"n.a.")</f>
        <v>0.75215455768659267</v>
      </c>
      <c r="K65" s="188">
        <f t="shared" ref="K65:W65" si="38">IFERROR((K45+K48+K51)/K63,"n.a.")</f>
        <v>0.75309767318851384</v>
      </c>
      <c r="L65" s="188">
        <f t="shared" si="38"/>
        <v>0.75262731604318978</v>
      </c>
      <c r="M65" s="188">
        <f t="shared" si="38"/>
        <v>0.76145586224734862</v>
      </c>
      <c r="N65" s="188">
        <f t="shared" si="38"/>
        <v>0.75558543467306505</v>
      </c>
      <c r="O65" s="188">
        <f t="shared" si="38"/>
        <v>0.74337579855394476</v>
      </c>
      <c r="P65" s="188">
        <f t="shared" si="38"/>
        <v>0.75258843153828392</v>
      </c>
      <c r="Q65" s="188">
        <f t="shared" si="38"/>
        <v>0.77711743587551829</v>
      </c>
      <c r="R65" s="188">
        <f t="shared" si="38"/>
        <v>0.7996380374325962</v>
      </c>
      <c r="S65" s="188">
        <f t="shared" si="38"/>
        <v>0.78841952788475811</v>
      </c>
      <c r="T65" s="188">
        <f t="shared" si="38"/>
        <v>0.82331372297655248</v>
      </c>
      <c r="U65" s="188">
        <f t="shared" si="38"/>
        <v>0.79993090769757547</v>
      </c>
      <c r="V65" s="188">
        <f t="shared" si="38"/>
        <v>0.77883760872305552</v>
      </c>
      <c r="W65" s="188">
        <f t="shared" si="38"/>
        <v>0.79477670843420989</v>
      </c>
      <c r="X65" s="188" t="str">
        <f t="shared" ref="X65:AD65" si="39">IFERROR((X45+X48+X51)/X63,"n.a.")</f>
        <v>n.a.</v>
      </c>
      <c r="Y65" s="188" t="str">
        <f t="shared" si="39"/>
        <v>n.a.</v>
      </c>
      <c r="Z65" s="188" t="str">
        <f t="shared" si="39"/>
        <v>n.a.</v>
      </c>
      <c r="AA65" s="188" t="str">
        <f t="shared" si="39"/>
        <v>n.a.</v>
      </c>
      <c r="AB65" s="188" t="str">
        <f t="shared" si="39"/>
        <v>n.a.</v>
      </c>
      <c r="AC65" s="188" t="str">
        <f t="shared" si="39"/>
        <v>n.a.</v>
      </c>
      <c r="AD65" s="188" t="str">
        <f t="shared" si="39"/>
        <v>n.a.</v>
      </c>
      <c r="AE65" s="188" t="str">
        <f>IFERROR((AE45+AE48+AE51)/AE63,"n.a.")</f>
        <v>n.a.</v>
      </c>
      <c r="AF65" s="188" t="str">
        <f>IFERROR((AF45+AF48+AF51)/AF63,"n.a.")</f>
        <v>n.a.</v>
      </c>
      <c r="AG65" s="188" t="str">
        <f>IFERROR((AG45+AG48+AG51)/AG63,"n.a.")</f>
        <v>n.a.</v>
      </c>
      <c r="AH65" s="188" t="str">
        <f>IFERROR((AH45+AH48+AH51)/AH63,"n.a.")</f>
        <v>n.a.</v>
      </c>
      <c r="AI65" s="188" t="str">
        <f>IFERROR((AI45+AI48+AI51)/AI63,"n.a.")</f>
        <v>n.a.</v>
      </c>
      <c r="AJ65" s="224"/>
      <c r="AK65" s="224"/>
      <c r="AL65" s="188" t="str">
        <f>IFERROR((AL45+AL48+AL51)/AL63,"n.a.")</f>
        <v>n.a.</v>
      </c>
      <c r="AM65" s="188" t="str">
        <f>IFERROR((AM45+AM48+AM51)/AM63,"n.a.")</f>
        <v>n.a.</v>
      </c>
      <c r="AN65" s="188" t="str">
        <f>IFERROR((AN45+AN48+AN51)/AN63,"n.a.")</f>
        <v>n.a.</v>
      </c>
      <c r="AO65" s="188" t="str">
        <f>IFERROR((AO45+AO48+AO51)/AO63,"n.a.")</f>
        <v>n.a.</v>
      </c>
      <c r="AP65" s="188" t="str">
        <f>IFERROR((AP45+AP48+AP51)/AP63,"n.a.")</f>
        <v>n.a.</v>
      </c>
      <c r="AQ65" s="224"/>
      <c r="AR65" s="224"/>
      <c r="AS65" s="188" t="str">
        <f>IFERROR((AS45+AS48+AS51)/AS63,"n.a.")</f>
        <v>n.a.</v>
      </c>
      <c r="AT65" s="188" t="str">
        <f>IFERROR((AT45+AT48+AT51)/AT63,"n.a.")</f>
        <v>n.a.</v>
      </c>
      <c r="AU65" s="188" t="s">
        <v>228</v>
      </c>
      <c r="AV65" s="188" t="str">
        <f>IFERROR((AV45+AV48+AV51)/AV63,"n.a.")</f>
        <v>n.a.</v>
      </c>
      <c r="AW65" s="188" t="str">
        <f>IFERROR((AW45+AW48+AW51)/AW63,"n.a.")</f>
        <v>n.a.</v>
      </c>
      <c r="AX65" s="224"/>
      <c r="AY65" s="224"/>
      <c r="AZ65" s="188" t="str">
        <f>IFERROR((AZ45+AZ48+AZ51)/AZ63,"n.a.")</f>
        <v>n.a.</v>
      </c>
      <c r="BA65" s="188" t="str">
        <f>IFERROR((BA45+BA48+BA51)/BA63,"n.a.")</f>
        <v>n.a.</v>
      </c>
      <c r="BB65" s="188" t="s">
        <v>228</v>
      </c>
      <c r="BC65" s="188" t="str">
        <f>IFERROR((BC45+BC48+BC51)/BC63,"n.a.")</f>
        <v>n.a.</v>
      </c>
      <c r="BD65" s="188" t="str">
        <f>IFERROR((BD45+BD48+BD51)/BD63,"n.a.")</f>
        <v>n.a.</v>
      </c>
    </row>
    <row r="66" spans="1:56" s="27" customFormat="1" hidden="1" outlineLevel="1" x14ac:dyDescent="0.2">
      <c r="A66" s="25" t="s">
        <v>270</v>
      </c>
      <c r="B66" s="25"/>
      <c r="C66" s="26">
        <f t="shared" ref="C66:I66" si="40">IFERROR((C54+C57+C60)/C63,"n.a.")</f>
        <v>0.24512786986312393</v>
      </c>
      <c r="D66" s="26">
        <f t="shared" si="40"/>
        <v>0.24278288421395616</v>
      </c>
      <c r="E66" s="26">
        <f t="shared" si="40"/>
        <v>0.24392388581223629</v>
      </c>
      <c r="F66" s="26">
        <f t="shared" si="40"/>
        <v>0.25316761371406959</v>
      </c>
      <c r="G66" s="26">
        <f t="shared" si="40"/>
        <v>0.24711511300101907</v>
      </c>
      <c r="H66" s="26">
        <f t="shared" si="40"/>
        <v>0.25249365119987399</v>
      </c>
      <c r="I66" s="26">
        <f t="shared" si="40"/>
        <v>0.24848766054791463</v>
      </c>
      <c r="J66" s="188">
        <f>IFERROR((J54+J57+J60)/J63,"n.a.")</f>
        <v>0.2478454423134073</v>
      </c>
      <c r="K66" s="188">
        <f t="shared" ref="K66:W66" si="41">IFERROR((K54+K57+K60)/K63,"n.a.")</f>
        <v>0.24690232681148599</v>
      </c>
      <c r="L66" s="188">
        <f t="shared" si="41"/>
        <v>0.24737268395680997</v>
      </c>
      <c r="M66" s="188">
        <f t="shared" si="41"/>
        <v>0.23854413775265121</v>
      </c>
      <c r="N66" s="188">
        <f t="shared" si="41"/>
        <v>0.24441456532693487</v>
      </c>
      <c r="O66" s="188">
        <f t="shared" si="41"/>
        <v>0.2566242014460553</v>
      </c>
      <c r="P66" s="188">
        <f t="shared" si="41"/>
        <v>0.24741156846171614</v>
      </c>
      <c r="Q66" s="188">
        <f t="shared" si="41"/>
        <v>0.22288256412448182</v>
      </c>
      <c r="R66" s="188">
        <f t="shared" si="41"/>
        <v>0.20036196256740399</v>
      </c>
      <c r="S66" s="188">
        <f t="shared" si="41"/>
        <v>0.21158047211524209</v>
      </c>
      <c r="T66" s="188">
        <f t="shared" si="41"/>
        <v>0.17668627702344752</v>
      </c>
      <c r="U66" s="188">
        <f t="shared" si="41"/>
        <v>0.20006909230242453</v>
      </c>
      <c r="V66" s="188">
        <f t="shared" si="41"/>
        <v>0.2211623912769444</v>
      </c>
      <c r="W66" s="188">
        <f t="shared" si="41"/>
        <v>0.20522329156579003</v>
      </c>
      <c r="X66" s="188" t="str">
        <f t="shared" ref="X66:AD66" si="42">IFERROR((X54+X57+X60)/X63,"n.a.")</f>
        <v>n.a.</v>
      </c>
      <c r="Y66" s="188" t="str">
        <f t="shared" si="42"/>
        <v>n.a.</v>
      </c>
      <c r="Z66" s="188" t="str">
        <f t="shared" si="42"/>
        <v>n.a.</v>
      </c>
      <c r="AA66" s="188" t="str">
        <f t="shared" si="42"/>
        <v>n.a.</v>
      </c>
      <c r="AB66" s="188" t="str">
        <f t="shared" si="42"/>
        <v>n.a.</v>
      </c>
      <c r="AC66" s="188" t="str">
        <f t="shared" si="42"/>
        <v>n.a.</v>
      </c>
      <c r="AD66" s="188" t="str">
        <f t="shared" si="42"/>
        <v>n.a.</v>
      </c>
      <c r="AE66" s="188" t="str">
        <f>IFERROR((AE54+AE57+AE60)/AE63,"n.a.")</f>
        <v>n.a.</v>
      </c>
      <c r="AF66" s="188" t="str">
        <f>IFERROR((AF54+AF57+AF60)/AF63,"n.a.")</f>
        <v>n.a.</v>
      </c>
      <c r="AG66" s="188" t="str">
        <f>IFERROR((AG54+AG57+AG60)/AG63,"n.a.")</f>
        <v>n.a.</v>
      </c>
      <c r="AH66" s="188" t="str">
        <f>IFERROR((AH54+AH57+AH60)/AH63,"n.a.")</f>
        <v>n.a.</v>
      </c>
      <c r="AI66" s="188" t="str">
        <f>IFERROR((AI54+AI57+AI60)/AI63,"n.a.")</f>
        <v>n.a.</v>
      </c>
      <c r="AJ66" s="224"/>
      <c r="AK66" s="224"/>
      <c r="AL66" s="188" t="str">
        <f>IFERROR((AL54+AL57+AL60)/AL63,"n.a.")</f>
        <v>n.a.</v>
      </c>
      <c r="AM66" s="188" t="str">
        <f>IFERROR((AM54+AM57+AM60)/AM63,"n.a.")</f>
        <v>n.a.</v>
      </c>
      <c r="AN66" s="188" t="str">
        <f>IFERROR((AN54+AN57+AN60)/AN63,"n.a.")</f>
        <v>n.a.</v>
      </c>
      <c r="AO66" s="188" t="str">
        <f>IFERROR((AO54+AO57+AO60)/AO63,"n.a.")</f>
        <v>n.a.</v>
      </c>
      <c r="AP66" s="188" t="str">
        <f>IFERROR((AP54+AP57+AP60)/AP63,"n.a.")</f>
        <v>n.a.</v>
      </c>
      <c r="AQ66" s="224"/>
      <c r="AR66" s="224"/>
      <c r="AS66" s="188" t="str">
        <f>IFERROR((AS54+AS57+AS60)/AS63,"n.a.")</f>
        <v>n.a.</v>
      </c>
      <c r="AT66" s="188" t="str">
        <f>IFERROR((AT54+AT57+AT60)/AT63,"n.a.")</f>
        <v>n.a.</v>
      </c>
      <c r="AU66" s="188" t="s">
        <v>228</v>
      </c>
      <c r="AV66" s="188" t="str">
        <f>IFERROR((AV54+AV57+AV60)/AV63,"n.a.")</f>
        <v>n.a.</v>
      </c>
      <c r="AW66" s="188" t="str">
        <f>IFERROR((AW54+AW57+AW60)/AW63,"n.a.")</f>
        <v>n.a.</v>
      </c>
      <c r="AX66" s="224"/>
      <c r="AY66" s="224"/>
      <c r="AZ66" s="188" t="str">
        <f>IFERROR((AZ54+AZ57+AZ60)/AZ63,"n.a.")</f>
        <v>n.a.</v>
      </c>
      <c r="BA66" s="188" t="str">
        <f>IFERROR((BA54+BA57+BA60)/BA63,"n.a.")</f>
        <v>n.a.</v>
      </c>
      <c r="BB66" s="188" t="s">
        <v>228</v>
      </c>
      <c r="BC66" s="188" t="str">
        <f>IFERROR((BC54+BC57+BC60)/BC63,"n.a.")</f>
        <v>n.a.</v>
      </c>
      <c r="BD66" s="188" t="str">
        <f>IFERROR((BD54+BD57+BD60)/BD63,"n.a.")</f>
        <v>n.a.</v>
      </c>
    </row>
    <row r="67" spans="1:56" collapsed="1" x14ac:dyDescent="0.2"/>
    <row r="69" spans="1:56" ht="25.5" customHeight="1" x14ac:dyDescent="0.2">
      <c r="A69" s="259" t="s">
        <v>263</v>
      </c>
      <c r="B69" s="259"/>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59"/>
      <c r="AQ69" s="259"/>
      <c r="AR69" s="259"/>
      <c r="AS69" s="259"/>
      <c r="AT69" s="259"/>
    </row>
  </sheetData>
  <mergeCells count="1">
    <mergeCell ref="A69:AT69"/>
  </mergeCells>
  <pageMargins left="0" right="0" top="0" bottom="0" header="0" footer="0"/>
  <pageSetup paperSize="9" scale="80" orientation="landscape" r:id="rId1"/>
  <ignoredErrors>
    <ignoredError sqref="D36:E36 F36:G36 H36 K36:L36 M36:N36 O36"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25"/>
  <sheetViews>
    <sheetView showGridLines="0" zoomScale="79" zoomScaleNormal="100" zoomScaleSheetLayoutView="100" workbookViewId="0">
      <pane xSplit="2" ySplit="6" topLeftCell="C7" activePane="bottomRight" state="frozen"/>
      <selection pane="topRight" activeCell="C1" sqref="C1"/>
      <selection pane="bottomLeft" activeCell="A7" sqref="A7"/>
      <selection pane="bottomRight"/>
    </sheetView>
  </sheetViews>
  <sheetFormatPr defaultColWidth="9" defaultRowHeight="12.75" outlineLevelCol="1" x14ac:dyDescent="0.2"/>
  <cols>
    <col min="1" max="1" width="66.625" style="2" customWidth="1"/>
    <col min="2" max="2" width="4.625" style="2" customWidth="1"/>
    <col min="3" max="4" width="11.625" style="2" hidden="1" customWidth="1" outlineLevel="1"/>
    <col min="5" max="5" width="11.625" style="2" customWidth="1" collapsed="1"/>
    <col min="6" max="11" width="11.625" style="2" customWidth="1"/>
    <col min="12" max="16384" width="9" style="2"/>
  </cols>
  <sheetData>
    <row r="1" spans="1:11" s="8" customFormat="1" ht="27.75" customHeight="1" x14ac:dyDescent="0.2">
      <c r="A1" s="8" t="s">
        <v>192</v>
      </c>
      <c r="B1" s="9"/>
      <c r="C1" s="9"/>
      <c r="D1" s="9"/>
      <c r="E1" s="9"/>
      <c r="F1" s="9"/>
      <c r="G1" s="9"/>
      <c r="H1" s="9"/>
      <c r="I1" s="9"/>
      <c r="J1" s="9"/>
      <c r="K1" s="9"/>
    </row>
    <row r="2" spans="1:11" x14ac:dyDescent="0.2">
      <c r="A2" s="30" t="s">
        <v>190</v>
      </c>
      <c r="K2" s="155"/>
    </row>
    <row r="4" spans="1:11" ht="13.5" thickBot="1" x14ac:dyDescent="0.25">
      <c r="A4" s="11" t="s">
        <v>48</v>
      </c>
      <c r="B4" s="13"/>
      <c r="C4" s="13" t="s">
        <v>25</v>
      </c>
      <c r="D4" s="13" t="s">
        <v>26</v>
      </c>
      <c r="E4" s="13" t="s">
        <v>26</v>
      </c>
      <c r="F4" s="13" t="s">
        <v>161</v>
      </c>
      <c r="G4" s="13" t="s">
        <v>261</v>
      </c>
      <c r="H4" s="13" t="s">
        <v>303</v>
      </c>
      <c r="I4" s="13" t="s">
        <v>327</v>
      </c>
      <c r="J4" s="13" t="s">
        <v>371</v>
      </c>
      <c r="K4" s="13" t="s">
        <v>383</v>
      </c>
    </row>
    <row r="5" spans="1:11" x14ac:dyDescent="0.2">
      <c r="C5" s="37" t="s">
        <v>176</v>
      </c>
      <c r="D5" s="37" t="s">
        <v>176</v>
      </c>
      <c r="E5" s="37" t="s">
        <v>189</v>
      </c>
      <c r="F5" s="37" t="s">
        <v>175</v>
      </c>
      <c r="G5" s="37" t="s">
        <v>175</v>
      </c>
      <c r="H5" s="37" t="s">
        <v>175</v>
      </c>
      <c r="I5" s="37" t="s">
        <v>175</v>
      </c>
      <c r="J5" s="37" t="s">
        <v>175</v>
      </c>
      <c r="K5" s="37" t="s">
        <v>175</v>
      </c>
    </row>
    <row r="7" spans="1:11" x14ac:dyDescent="0.2">
      <c r="A7" s="97" t="s">
        <v>377</v>
      </c>
      <c r="B7" s="98"/>
      <c r="C7" s="211">
        <f>ROUND('Fin. Highlights - FY'!C24,1)</f>
        <v>654.20000000000005</v>
      </c>
      <c r="D7" s="211">
        <f>ROUND('Fin. Highlights - FY'!D24,1)</f>
        <v>769.2</v>
      </c>
      <c r="E7" s="211">
        <f>ROUND('Fin. Highlights - FY'!D24,1)</f>
        <v>769.2</v>
      </c>
      <c r="F7" s="211">
        <f>ROUND('Fin. Highlights - FY'!F24,1)</f>
        <v>844.3</v>
      </c>
      <c r="G7" s="211">
        <f>ROUND('Fin. Highlights - FY'!G24,1)</f>
        <v>876.4</v>
      </c>
      <c r="H7" s="211">
        <f>ROUND('Fin. Highlights - FY'!H24,1)</f>
        <v>955</v>
      </c>
      <c r="I7" s="211">
        <f>ROUND('Fin. Highlights - FY'!I24,1)</f>
        <v>917.3</v>
      </c>
      <c r="J7" s="211">
        <f>ROUND('Fin. Highlights - FY'!J24,1)</f>
        <v>501.2</v>
      </c>
      <c r="K7" s="211">
        <f>ROUND('Fin. Highlights - FY'!K24,1)</f>
        <v>815.8</v>
      </c>
    </row>
    <row r="8" spans="1:11" x14ac:dyDescent="0.2">
      <c r="C8" s="40"/>
      <c r="D8" s="40"/>
      <c r="E8" s="40"/>
      <c r="F8" s="40"/>
      <c r="G8" s="40"/>
      <c r="H8" s="40"/>
      <c r="I8" s="40"/>
      <c r="J8" s="40"/>
      <c r="K8" s="40"/>
    </row>
    <row r="9" spans="1:11" x14ac:dyDescent="0.2">
      <c r="A9" s="35" t="s">
        <v>27</v>
      </c>
      <c r="B9" s="14"/>
      <c r="C9" s="41">
        <v>2</v>
      </c>
      <c r="D9" s="41">
        <v>58</v>
      </c>
      <c r="E9" s="41">
        <v>58</v>
      </c>
      <c r="F9" s="41">
        <v>23.2</v>
      </c>
      <c r="G9" s="41">
        <v>-68.3</v>
      </c>
      <c r="H9" s="41">
        <v>-44.8</v>
      </c>
      <c r="I9" s="41">
        <v>-350.58</v>
      </c>
      <c r="J9" s="41">
        <v>266.60000000000002</v>
      </c>
      <c r="K9" s="41">
        <v>-21.8</v>
      </c>
    </row>
    <row r="10" spans="1:11" x14ac:dyDescent="0.2">
      <c r="C10" s="198"/>
      <c r="D10" s="198"/>
      <c r="E10" s="198"/>
      <c r="F10" s="198"/>
      <c r="G10" s="198"/>
      <c r="H10" s="198"/>
      <c r="I10" s="198"/>
      <c r="J10" s="198"/>
      <c r="K10" s="198"/>
    </row>
    <row r="11" spans="1:11" x14ac:dyDescent="0.2">
      <c r="A11" s="35" t="s">
        <v>28</v>
      </c>
      <c r="B11" s="14"/>
      <c r="C11" s="41">
        <v>188</v>
      </c>
      <c r="D11" s="41">
        <v>100</v>
      </c>
      <c r="E11" s="41">
        <v>100</v>
      </c>
      <c r="F11" s="41">
        <v>277.5</v>
      </c>
      <c r="G11" s="41">
        <v>238.7</v>
      </c>
      <c r="H11" s="41">
        <v>122.9</v>
      </c>
      <c r="I11" s="41">
        <v>19.53</v>
      </c>
      <c r="J11" s="41">
        <v>282.7</v>
      </c>
      <c r="K11" s="41">
        <v>890.7</v>
      </c>
    </row>
    <row r="12" spans="1:11" x14ac:dyDescent="0.2">
      <c r="C12" s="198"/>
      <c r="D12" s="198"/>
      <c r="E12" s="198"/>
      <c r="F12" s="198"/>
      <c r="G12" s="198"/>
      <c r="H12" s="198"/>
      <c r="I12" s="198"/>
      <c r="J12" s="198"/>
      <c r="K12" s="198"/>
    </row>
    <row r="13" spans="1:11" x14ac:dyDescent="0.2">
      <c r="A13" s="35" t="s">
        <v>44</v>
      </c>
      <c r="B13" s="14"/>
      <c r="C13" s="41">
        <v>96</v>
      </c>
      <c r="D13" s="41">
        <v>98</v>
      </c>
      <c r="E13" s="41">
        <v>98</v>
      </c>
      <c r="F13" s="41">
        <v>46.6</v>
      </c>
      <c r="G13" s="41">
        <v>70.099999999999994</v>
      </c>
      <c r="H13" s="41">
        <v>70</v>
      </c>
      <c r="I13" s="41">
        <v>159.6</v>
      </c>
      <c r="J13" s="41">
        <v>154.6</v>
      </c>
      <c r="K13" s="41">
        <v>135.99999999999994</v>
      </c>
    </row>
    <row r="14" spans="1:11" x14ac:dyDescent="0.2">
      <c r="C14" s="40"/>
      <c r="D14" s="40"/>
      <c r="E14" s="40"/>
      <c r="F14" s="40"/>
      <c r="G14" s="40"/>
      <c r="H14" s="40"/>
      <c r="I14" s="40"/>
      <c r="J14" s="40"/>
      <c r="K14" s="40"/>
    </row>
    <row r="15" spans="1:11" x14ac:dyDescent="0.2">
      <c r="A15" s="35" t="s">
        <v>32</v>
      </c>
      <c r="B15" s="14"/>
      <c r="C15" s="52">
        <f>IFERROR('Fin. Highlights - FY'!D22-'Fin. Highlights - FY'!C22,"n.a.")</f>
        <v>0</v>
      </c>
      <c r="D15" s="52">
        <f>IFERROR('Fin. Highlights - FY'!E22-'Fin. Highlights - FY'!D22,"n.a.")</f>
        <v>0</v>
      </c>
      <c r="E15" s="52">
        <f>IFERROR('Fin. Highlights - FY'!F22-'Fin. Highlights - FY'!D22,"n.a.")</f>
        <v>0</v>
      </c>
      <c r="F15" s="52">
        <f>IFERROR('Fin. Highlights - FY'!G22-'Fin. Highlights - FY'!F22,"n.a.")</f>
        <v>-50.2</v>
      </c>
      <c r="G15" s="52">
        <f>IFERROR('Fin. Highlights - FY'!H22-'Fin. Highlights - FY'!G22,"n.a.")</f>
        <v>2.5</v>
      </c>
      <c r="H15" s="52">
        <f>IFERROR('Fin. Highlights - FY'!I22-'Fin. Highlights - FY'!H22,"n.a.")</f>
        <v>6.4000000000000057</v>
      </c>
      <c r="I15" s="52"/>
      <c r="J15" s="52"/>
      <c r="K15" s="52"/>
    </row>
    <row r="16" spans="1:11" x14ac:dyDescent="0.2">
      <c r="C16" s="198"/>
      <c r="D16" s="198"/>
      <c r="E16" s="198"/>
      <c r="F16" s="198"/>
      <c r="G16" s="198"/>
      <c r="H16" s="198"/>
      <c r="I16" s="198"/>
      <c r="J16" s="198"/>
      <c r="K16" s="198"/>
    </row>
    <row r="17" spans="1:11" x14ac:dyDescent="0.2">
      <c r="A17" s="35" t="s">
        <v>47</v>
      </c>
      <c r="B17" s="14"/>
      <c r="C17" s="41">
        <v>-71</v>
      </c>
      <c r="D17" s="41">
        <v>-72.900000000000006</v>
      </c>
      <c r="E17" s="41">
        <v>-72.900000000000006</v>
      </c>
      <c r="F17" s="41">
        <v>-39.899999999999991</v>
      </c>
      <c r="G17" s="41">
        <v>-20.7</v>
      </c>
      <c r="H17" s="41">
        <v>-50.7</v>
      </c>
      <c r="I17" s="41">
        <v>-114.5</v>
      </c>
      <c r="J17" s="228">
        <v>-80.900000000000006</v>
      </c>
      <c r="K17" s="228">
        <v>-54.7</v>
      </c>
    </row>
    <row r="18" spans="1:11" x14ac:dyDescent="0.2">
      <c r="C18" s="198"/>
      <c r="D18" s="198"/>
      <c r="E18" s="198"/>
      <c r="F18" s="198"/>
      <c r="G18" s="198"/>
      <c r="H18" s="198"/>
      <c r="I18" s="198"/>
      <c r="J18" s="198"/>
      <c r="K18" s="198"/>
    </row>
    <row r="19" spans="1:11" x14ac:dyDescent="0.2">
      <c r="A19" s="35" t="s">
        <v>43</v>
      </c>
      <c r="B19" s="14"/>
      <c r="C19" s="41">
        <v>19</v>
      </c>
      <c r="D19" s="41">
        <v>-5</v>
      </c>
      <c r="E19" s="41">
        <v>-5</v>
      </c>
      <c r="F19" s="41">
        <v>-164.8</v>
      </c>
      <c r="G19" s="41">
        <v>-52</v>
      </c>
      <c r="H19" s="41">
        <v>-66.7</v>
      </c>
      <c r="I19" s="41">
        <v>-20</v>
      </c>
      <c r="J19" s="41">
        <v>-211.9</v>
      </c>
      <c r="K19" s="41">
        <v>-491.46029357402608</v>
      </c>
    </row>
    <row r="20" spans="1:11" x14ac:dyDescent="0.2">
      <c r="C20" s="198"/>
      <c r="D20" s="198"/>
      <c r="E20" s="198"/>
      <c r="F20" s="198"/>
      <c r="G20" s="198"/>
      <c r="H20" s="198"/>
      <c r="I20" s="198"/>
      <c r="J20" s="198"/>
      <c r="K20" s="198"/>
    </row>
    <row r="21" spans="1:11" x14ac:dyDescent="0.2">
      <c r="A21" s="35" t="s">
        <v>45</v>
      </c>
      <c r="B21" s="14"/>
      <c r="C21" s="41">
        <v>-122</v>
      </c>
      <c r="D21" s="41">
        <v>-70</v>
      </c>
      <c r="E21" s="41">
        <v>-70</v>
      </c>
      <c r="F21" s="41">
        <v>-53.6</v>
      </c>
      <c r="G21" s="41">
        <v>-48.3</v>
      </c>
      <c r="H21" s="41">
        <v>-76.599999999999994</v>
      </c>
      <c r="I21" s="41">
        <v>-50</v>
      </c>
      <c r="J21" s="41">
        <v>-85</v>
      </c>
      <c r="K21" s="41">
        <v>-327.44</v>
      </c>
    </row>
    <row r="22" spans="1:11" x14ac:dyDescent="0.2">
      <c r="C22" s="198"/>
      <c r="D22" s="198"/>
      <c r="E22" s="198"/>
      <c r="F22" s="198"/>
      <c r="G22" s="198"/>
      <c r="H22" s="198"/>
      <c r="I22" s="198"/>
      <c r="J22" s="198"/>
      <c r="K22" s="198"/>
    </row>
    <row r="23" spans="1:11" x14ac:dyDescent="0.2">
      <c r="A23" s="35" t="s">
        <v>46</v>
      </c>
      <c r="B23" s="14"/>
      <c r="C23" s="41">
        <v>3</v>
      </c>
      <c r="D23" s="41">
        <v>-33</v>
      </c>
      <c r="E23" s="41">
        <v>-33</v>
      </c>
      <c r="F23" s="41">
        <v>-6.7</v>
      </c>
      <c r="G23" s="41">
        <v>-43.378778255913289</v>
      </c>
      <c r="H23" s="41">
        <v>1.8</v>
      </c>
      <c r="I23" s="41">
        <v>-60.1</v>
      </c>
      <c r="J23" s="41">
        <v>-11.5</v>
      </c>
      <c r="K23" s="41">
        <v>30.7</v>
      </c>
    </row>
    <row r="24" spans="1:11" x14ac:dyDescent="0.2">
      <c r="C24" s="40"/>
      <c r="D24" s="40"/>
      <c r="E24" s="40"/>
      <c r="F24" s="40"/>
      <c r="G24" s="40"/>
      <c r="H24" s="40"/>
      <c r="I24" s="40"/>
      <c r="J24" s="40"/>
      <c r="K24" s="40"/>
    </row>
    <row r="25" spans="1:11" x14ac:dyDescent="0.2">
      <c r="A25" s="34" t="s">
        <v>376</v>
      </c>
      <c r="B25" s="34"/>
      <c r="C25" s="118">
        <f t="shared" ref="C25:H25" si="0">IFERROR(C7+C9+C11+C13+C15+C17+C19+C21+C23,"n.a.")</f>
        <v>769.2</v>
      </c>
      <c r="D25" s="118">
        <f t="shared" si="0"/>
        <v>844.30000000000007</v>
      </c>
      <c r="E25" s="118">
        <f t="shared" si="0"/>
        <v>844.30000000000007</v>
      </c>
      <c r="F25" s="118">
        <f t="shared" si="0"/>
        <v>876.39999999999975</v>
      </c>
      <c r="G25" s="118">
        <f t="shared" si="0"/>
        <v>955.02122174408657</v>
      </c>
      <c r="H25" s="118">
        <f t="shared" si="0"/>
        <v>917.30000000000007</v>
      </c>
      <c r="I25" s="118">
        <f>IFERROR(I7+I9+I11+I13+I15+I17+I19+I21+I23-0.1,"n.a.")</f>
        <v>501.15</v>
      </c>
      <c r="J25" s="118">
        <f>IFERROR(J7+J9+J11+J13+J15+J17+J19+J21+J23,"n.a.")</f>
        <v>815.79999999999984</v>
      </c>
      <c r="K25" s="118">
        <f>IFERROR(K7+K9+K11+K13+K15+K17+K19+K21+K23,"n.a.")</f>
        <v>977.79970642597391</v>
      </c>
    </row>
  </sheetData>
  <pageMargins left="0" right="0" top="0" bottom="0" header="0" footer="0"/>
  <pageSetup paperSize="9" orientation="landscape" r:id="rId1"/>
  <ignoredErrors>
    <ignoredError sqref="I25"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pageSetUpPr fitToPage="1"/>
  </sheetPr>
  <dimension ref="A1:AX25"/>
  <sheetViews>
    <sheetView showGridLines="0" zoomScale="80" zoomScaleNormal="130" zoomScaleSheetLayoutView="100" workbookViewId="0">
      <pane xSplit="2" ySplit="6" topLeftCell="C7" activePane="bottomRight" state="frozen"/>
      <selection pane="topRight" activeCell="C1" sqref="C1"/>
      <selection pane="bottomLeft" activeCell="A7" sqref="A7"/>
      <selection pane="bottomRight"/>
    </sheetView>
  </sheetViews>
  <sheetFormatPr defaultColWidth="9" defaultRowHeight="12.75" outlineLevelRow="1" outlineLevelCol="2" x14ac:dyDescent="0.2"/>
  <cols>
    <col min="1" max="1" width="63.125" style="2" customWidth="1"/>
    <col min="2" max="2" width="1.75" style="2" customWidth="1"/>
    <col min="3" max="22" width="9.625" style="2" hidden="1" customWidth="1" outlineLevel="2"/>
    <col min="23" max="23" width="9.625" style="2" hidden="1" customWidth="1" outlineLevel="1"/>
    <col min="24" max="24" width="9.625" style="2" customWidth="1" collapsed="1"/>
    <col min="25" max="25" width="9.625" style="2" customWidth="1"/>
    <col min="26" max="26" width="9.625" style="2" hidden="1" customWidth="1" outlineLevel="1"/>
    <col min="27" max="27" width="9.625" style="2" customWidth="1" collapsed="1"/>
    <col min="28" max="28" width="9.625" style="2" hidden="1" customWidth="1" outlineLevel="1"/>
    <col min="29" max="29" width="9.625" style="2" customWidth="1" collapsed="1"/>
    <col min="30" max="30" width="9.625" style="2" hidden="1" customWidth="1" outlineLevel="1"/>
    <col min="31" max="31" width="9.625" style="2" customWidth="1" collapsed="1"/>
    <col min="32" max="32" width="9.625" style="2" customWidth="1"/>
    <col min="33" max="33" width="9.625" style="2" hidden="1" customWidth="1" outlineLevel="1"/>
    <col min="34" max="34" width="9.625" style="2" customWidth="1" collapsed="1"/>
    <col min="35" max="35" width="9.625" style="2" hidden="1" customWidth="1" outlineLevel="1"/>
    <col min="36" max="36" width="9.625" style="2" customWidth="1" collapsed="1"/>
    <col min="37" max="37" width="9.625" style="2" hidden="1" customWidth="1" outlineLevel="1"/>
    <col min="38" max="39" width="9.625" style="2" customWidth="1" collapsed="1"/>
    <col min="40" max="40" width="9.625" style="2" hidden="1" customWidth="1" outlineLevel="1"/>
    <col min="41" max="41" width="9.625" style="2" customWidth="1" collapsed="1"/>
    <col min="42" max="42" width="9.625" style="2" hidden="1" customWidth="1" outlineLevel="1"/>
    <col min="43" max="43" width="9.625" style="2" customWidth="1" collapsed="1"/>
    <col min="44" max="44" width="9.625" style="2" hidden="1" customWidth="1" outlineLevel="1"/>
    <col min="45" max="46" width="9.625" style="2" customWidth="1" collapsed="1"/>
    <col min="47" max="47" width="9.625" style="2" hidden="1" customWidth="1" outlineLevel="1"/>
    <col min="48" max="48" width="9.625" style="2" customWidth="1" collapsed="1"/>
    <col min="49" max="49" width="9.625" style="2" hidden="1" customWidth="1" outlineLevel="1"/>
    <col min="50" max="50" width="9" style="2" collapsed="1"/>
    <col min="51" max="16384" width="9" style="2"/>
  </cols>
  <sheetData>
    <row r="1" spans="1:50" s="8" customFormat="1" ht="27.75" customHeight="1" x14ac:dyDescent="0.2">
      <c r="A1" s="8" t="s">
        <v>194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O1" s="9"/>
      <c r="AP1" s="9"/>
      <c r="AQ1" s="9"/>
      <c r="AR1" s="9"/>
      <c r="AS1" s="9"/>
    </row>
    <row r="2" spans="1:50" x14ac:dyDescent="0.2">
      <c r="A2" s="30" t="s">
        <v>190</v>
      </c>
      <c r="AQ2" s="155"/>
      <c r="AR2" s="155"/>
    </row>
    <row r="3" spans="1:50" x14ac:dyDescent="0.2">
      <c r="AT3" s="155"/>
      <c r="AU3" s="155"/>
      <c r="AV3" s="155"/>
      <c r="AW3" s="155"/>
    </row>
    <row r="4" spans="1:50" ht="13.5" thickBot="1" x14ac:dyDescent="0.25">
      <c r="A4" s="11" t="s">
        <v>48</v>
      </c>
      <c r="B4" s="13"/>
      <c r="C4" s="13" t="s">
        <v>167</v>
      </c>
      <c r="D4" s="13" t="s">
        <v>166</v>
      </c>
      <c r="E4" s="13" t="s">
        <v>165</v>
      </c>
      <c r="F4" s="13" t="s">
        <v>164</v>
      </c>
      <c r="G4" s="13" t="s">
        <v>122</v>
      </c>
      <c r="H4" s="13" t="s">
        <v>168</v>
      </c>
      <c r="I4" s="13" t="s">
        <v>161</v>
      </c>
      <c r="J4" s="13" t="s">
        <v>234</v>
      </c>
      <c r="K4" s="171" t="s">
        <v>245</v>
      </c>
      <c r="L4" s="171" t="s">
        <v>248</v>
      </c>
      <c r="M4" s="171" t="s">
        <v>260</v>
      </c>
      <c r="N4" s="171" t="s">
        <v>259</v>
      </c>
      <c r="O4" s="171" t="s">
        <v>262</v>
      </c>
      <c r="P4" s="13" t="s">
        <v>261</v>
      </c>
      <c r="Q4" s="13" t="s">
        <v>271</v>
      </c>
      <c r="R4" s="171" t="s">
        <v>296</v>
      </c>
      <c r="S4" s="171" t="s">
        <v>297</v>
      </c>
      <c r="T4" s="171" t="s">
        <v>301</v>
      </c>
      <c r="U4" s="171" t="s">
        <v>302</v>
      </c>
      <c r="V4" s="171" t="s">
        <v>304</v>
      </c>
      <c r="W4" s="13" t="s">
        <v>303</v>
      </c>
      <c r="X4" s="13" t="s">
        <v>316</v>
      </c>
      <c r="Y4" s="171" t="s">
        <v>322</v>
      </c>
      <c r="Z4" s="171" t="s">
        <v>323</v>
      </c>
      <c r="AA4" s="171" t="s">
        <v>325</v>
      </c>
      <c r="AB4" s="171" t="s">
        <v>326</v>
      </c>
      <c r="AC4" s="171" t="s">
        <v>328</v>
      </c>
      <c r="AD4" s="13" t="s">
        <v>327</v>
      </c>
      <c r="AE4" s="13" t="s">
        <v>354</v>
      </c>
      <c r="AF4" s="171" t="s">
        <v>359</v>
      </c>
      <c r="AG4" s="171" t="s">
        <v>360</v>
      </c>
      <c r="AH4" s="171" t="s">
        <v>363</v>
      </c>
      <c r="AI4" s="171" t="s">
        <v>364</v>
      </c>
      <c r="AJ4" s="171" t="s">
        <v>366</v>
      </c>
      <c r="AK4" s="13" t="s">
        <v>371</v>
      </c>
      <c r="AL4" s="13" t="s">
        <v>372</v>
      </c>
      <c r="AM4" s="13" t="s">
        <v>378</v>
      </c>
      <c r="AN4" s="13" t="s">
        <v>379</v>
      </c>
      <c r="AO4" s="171" t="s">
        <v>381</v>
      </c>
      <c r="AP4" s="171" t="s">
        <v>382</v>
      </c>
      <c r="AQ4" s="171" t="s">
        <v>384</v>
      </c>
      <c r="AR4" s="13" t="s">
        <v>383</v>
      </c>
      <c r="AS4" s="13" t="s">
        <v>386</v>
      </c>
      <c r="AT4" s="13" t="s">
        <v>387</v>
      </c>
      <c r="AU4" s="13" t="s">
        <v>388</v>
      </c>
      <c r="AV4" s="13" t="s">
        <v>391</v>
      </c>
      <c r="AW4" s="13" t="s">
        <v>392</v>
      </c>
    </row>
    <row r="5" spans="1:50" x14ac:dyDescent="0.2">
      <c r="C5" s="37" t="s">
        <v>175</v>
      </c>
      <c r="D5" s="37" t="s">
        <v>175</v>
      </c>
      <c r="E5" s="37" t="s">
        <v>176</v>
      </c>
      <c r="F5" s="37" t="s">
        <v>175</v>
      </c>
      <c r="G5" s="37" t="s">
        <v>175</v>
      </c>
      <c r="H5" s="37" t="s">
        <v>175</v>
      </c>
      <c r="I5" s="37" t="s">
        <v>175</v>
      </c>
      <c r="J5" s="37" t="s">
        <v>175</v>
      </c>
      <c r="K5" s="37" t="s">
        <v>175</v>
      </c>
      <c r="L5" s="37" t="s">
        <v>175</v>
      </c>
      <c r="M5" s="37" t="s">
        <v>175</v>
      </c>
      <c r="N5" s="37" t="s">
        <v>175</v>
      </c>
      <c r="O5" s="37" t="s">
        <v>175</v>
      </c>
      <c r="P5" s="37" t="s">
        <v>175</v>
      </c>
      <c r="Q5" s="37" t="s">
        <v>175</v>
      </c>
      <c r="R5" s="37" t="s">
        <v>175</v>
      </c>
      <c r="S5" s="37" t="s">
        <v>175</v>
      </c>
      <c r="T5" s="37" t="s">
        <v>175</v>
      </c>
      <c r="U5" s="37" t="s">
        <v>175</v>
      </c>
      <c r="V5" s="37" t="s">
        <v>175</v>
      </c>
      <c r="W5" s="37" t="s">
        <v>175</v>
      </c>
      <c r="X5" s="37" t="s">
        <v>175</v>
      </c>
      <c r="Y5" s="37" t="s">
        <v>175</v>
      </c>
      <c r="Z5" s="37" t="s">
        <v>175</v>
      </c>
      <c r="AA5" s="37" t="s">
        <v>175</v>
      </c>
      <c r="AB5" s="37" t="s">
        <v>175</v>
      </c>
      <c r="AC5" s="37" t="s">
        <v>175</v>
      </c>
      <c r="AD5" s="37" t="s">
        <v>175</v>
      </c>
      <c r="AE5" s="37" t="s">
        <v>175</v>
      </c>
      <c r="AF5" s="37" t="s">
        <v>175</v>
      </c>
      <c r="AG5" s="37" t="s">
        <v>175</v>
      </c>
      <c r="AH5" s="37" t="s">
        <v>175</v>
      </c>
      <c r="AI5" s="37" t="s">
        <v>175</v>
      </c>
      <c r="AJ5" s="37" t="s">
        <v>175</v>
      </c>
      <c r="AK5" s="37" t="s">
        <v>175</v>
      </c>
      <c r="AL5" s="37" t="s">
        <v>175</v>
      </c>
      <c r="AM5" s="37" t="s">
        <v>175</v>
      </c>
      <c r="AN5" s="37" t="s">
        <v>175</v>
      </c>
      <c r="AO5" s="37" t="s">
        <v>175</v>
      </c>
      <c r="AP5" s="37" t="s">
        <v>175</v>
      </c>
      <c r="AQ5" s="37" t="s">
        <v>175</v>
      </c>
      <c r="AR5" s="37" t="s">
        <v>175</v>
      </c>
      <c r="AS5" s="37" t="s">
        <v>175</v>
      </c>
      <c r="AT5" s="37" t="s">
        <v>175</v>
      </c>
      <c r="AU5" s="37" t="s">
        <v>175</v>
      </c>
      <c r="AV5" s="37" t="s">
        <v>175</v>
      </c>
      <c r="AW5" s="37" t="s">
        <v>175</v>
      </c>
    </row>
    <row r="7" spans="1:50" x14ac:dyDescent="0.2">
      <c r="A7" s="97" t="s">
        <v>377</v>
      </c>
      <c r="B7" s="98"/>
      <c r="C7" s="211">
        <f>'Fin. Highlights - Interim'!C24</f>
        <v>203.6</v>
      </c>
      <c r="D7" s="211">
        <f>'Fin. Highlights - Interim'!D24</f>
        <v>209.6</v>
      </c>
      <c r="E7" s="211">
        <f>'Fin. Highlights - Interim'!E24</f>
        <v>413.2</v>
      </c>
      <c r="F7" s="211">
        <f>'Fin. Highlights - Interim'!F24</f>
        <v>207.49999999999994</v>
      </c>
      <c r="G7" s="211">
        <f>'Fin. Highlights - Interim'!G24</f>
        <v>620.69999999999993</v>
      </c>
      <c r="H7" s="211">
        <f>'Fin. Highlights - Interim'!H24</f>
        <v>223.62300000000005</v>
      </c>
      <c r="I7" s="211">
        <f>'Fin. Highlights - FY'!E24</f>
        <v>844.32299999999998</v>
      </c>
      <c r="J7" s="211">
        <f>'Fin. Highlights - Interim'!J24</f>
        <v>205</v>
      </c>
      <c r="K7" s="211">
        <f>'Fin. Highlights - Interim'!K24</f>
        <v>211.19999999999993</v>
      </c>
      <c r="L7" s="211">
        <f>'Fin. Highlights - Interim'!L24</f>
        <v>416.19999999999993</v>
      </c>
      <c r="M7" s="211">
        <f>'Fin. Highlights - Interim'!M24</f>
        <v>226.00000000000011</v>
      </c>
      <c r="N7" s="211">
        <f>'Fin. Highlights - Interim'!N24</f>
        <v>642.20000000000005</v>
      </c>
      <c r="O7" s="211">
        <f>'Fin. Highlights - Interim'!O24</f>
        <v>234.2</v>
      </c>
      <c r="P7" s="211">
        <f>'Fin. Highlights - Interim'!P24</f>
        <v>876.4</v>
      </c>
      <c r="Q7" s="211">
        <f>'Fin. Highlights - Interim'!Q24</f>
        <v>218.4</v>
      </c>
      <c r="R7" s="211">
        <f>'Fin. Highlights - Interim'!R24</f>
        <v>231.70000000000002</v>
      </c>
      <c r="S7" s="211">
        <f>'Fin. Highlights - Interim'!S24</f>
        <v>450.1</v>
      </c>
      <c r="T7" s="211">
        <f>'Fin. Highlights - Interim'!T24</f>
        <v>250</v>
      </c>
      <c r="U7" s="211">
        <f>'Fin. Highlights - Interim'!U24</f>
        <v>700.1</v>
      </c>
      <c r="V7" s="211">
        <f>'Fin. Highlights - Interim'!V24</f>
        <v>254.90000000000003</v>
      </c>
      <c r="W7" s="211">
        <f>'Fin. Highlights - Interim'!W24</f>
        <v>955</v>
      </c>
      <c r="X7" s="211">
        <f>'Fin. Highlights - Interim'!X24</f>
        <v>219.173</v>
      </c>
      <c r="Y7" s="211">
        <f>'Fin. Highlights - Interim'!Y24</f>
        <v>221.327</v>
      </c>
      <c r="Z7" s="211">
        <f>'Fin. Highlights - Interim'!Z24</f>
        <v>440.5</v>
      </c>
      <c r="AA7" s="211">
        <f>'Fin. Highlights - Interim'!AA24</f>
        <v>244.49999999999997</v>
      </c>
      <c r="AB7" s="211">
        <f>'Fin. Highlights - Interim'!AB24</f>
        <v>685</v>
      </c>
      <c r="AC7" s="211">
        <f>'Fin. Highlights - Interim'!AC24</f>
        <v>232.30000000000004</v>
      </c>
      <c r="AD7" s="211">
        <f>'Fin. Highlights - Interim'!AD24</f>
        <v>917.30000000000007</v>
      </c>
      <c r="AE7" s="211">
        <f>'Fin. Highlights - Interim'!AE24</f>
        <v>141.07</v>
      </c>
      <c r="AF7" s="211">
        <f>'Fin. Highlights - Interim'!AF24</f>
        <v>-74.407999999999987</v>
      </c>
      <c r="AG7" s="211">
        <f>'Fin. Highlights - Interim'!AG24</f>
        <v>66.662000000000006</v>
      </c>
      <c r="AH7" s="211">
        <f>'Fin. Highlights - Interim'!AH24</f>
        <v>213.74999999999997</v>
      </c>
      <c r="AI7" s="211">
        <f>'Fin. Highlights - Interim'!AI24</f>
        <v>280.41199999999998</v>
      </c>
      <c r="AJ7" s="211">
        <f>'Fin. Highlights - Interim'!AJ24</f>
        <v>220.76800000000003</v>
      </c>
      <c r="AK7" s="211">
        <f>'Fin. Highlights - Interim'!AK24</f>
        <v>501.18</v>
      </c>
      <c r="AL7" s="211">
        <f>'Fin. Highlights - Interim'!AL24</f>
        <v>168.751</v>
      </c>
      <c r="AM7" s="211">
        <f>'Fin. Highlights - Interim'!AM24</f>
        <v>208.614</v>
      </c>
      <c r="AN7" s="211">
        <f>AG25</f>
        <v>377.33200000000011</v>
      </c>
      <c r="AO7" s="211">
        <f>'Fin. Highlights - Interim'!AO24</f>
        <v>221.43100000000004</v>
      </c>
      <c r="AP7" s="211">
        <f>'Fin. Highlights - Interim'!AP24</f>
        <v>598.79600000000005</v>
      </c>
      <c r="AQ7" s="211">
        <f>'Fin. Highlights - Interim'!AQ24</f>
        <v>216.9849999999999</v>
      </c>
      <c r="AR7" s="211">
        <f>'Fin. Highlights - Interim'!AR24</f>
        <v>815.78099999999995</v>
      </c>
      <c r="AS7" s="211">
        <f>'Fin. Highlights - Interim'!AS24</f>
        <v>228.483</v>
      </c>
      <c r="AT7" s="211">
        <f>'Fin. Highlights - Interim'!AT24</f>
        <v>253.07600000000002</v>
      </c>
      <c r="AU7" s="211">
        <f>AN25</f>
        <v>481.56200000000013</v>
      </c>
      <c r="AV7" s="211">
        <f>AO25</f>
        <v>271.89410111346763</v>
      </c>
      <c r="AW7" s="211">
        <f>AP25</f>
        <v>753.45910111346757</v>
      </c>
    </row>
    <row r="8" spans="1:50" x14ac:dyDescent="0.2">
      <c r="C8" s="40"/>
      <c r="D8" s="212"/>
      <c r="E8" s="40"/>
      <c r="F8" s="212"/>
      <c r="G8" s="40"/>
      <c r="H8" s="212"/>
      <c r="I8" s="40"/>
      <c r="J8" s="40"/>
      <c r="K8" s="212"/>
      <c r="L8" s="40"/>
      <c r="M8" s="40"/>
      <c r="N8" s="40"/>
      <c r="O8" s="40"/>
      <c r="P8" s="40"/>
      <c r="Q8" s="40"/>
      <c r="R8" s="212"/>
      <c r="S8" s="40"/>
      <c r="T8" s="40"/>
      <c r="U8" s="40"/>
      <c r="V8" s="40"/>
      <c r="W8" s="40"/>
      <c r="X8" s="40"/>
      <c r="Y8" s="212"/>
      <c r="Z8" s="40"/>
      <c r="AA8" s="40"/>
      <c r="AB8" s="40"/>
      <c r="AC8" s="40"/>
      <c r="AD8" s="40"/>
      <c r="AE8" s="40"/>
      <c r="AF8" s="212"/>
      <c r="AG8" s="40"/>
      <c r="AH8" s="40"/>
      <c r="AI8" s="40"/>
      <c r="AJ8" s="40"/>
      <c r="AK8" s="40"/>
      <c r="AL8" s="40"/>
      <c r="AM8" s="212"/>
      <c r="AN8" s="40"/>
      <c r="AO8" s="40"/>
      <c r="AP8" s="40"/>
      <c r="AQ8" s="40"/>
      <c r="AR8" s="40"/>
      <c r="AS8" s="40"/>
      <c r="AT8" s="212"/>
      <c r="AU8" s="40"/>
      <c r="AV8" s="212"/>
      <c r="AW8" s="40"/>
      <c r="AX8" s="155"/>
    </row>
    <row r="9" spans="1:50" x14ac:dyDescent="0.2">
      <c r="A9" s="35" t="s">
        <v>27</v>
      </c>
      <c r="B9" s="14"/>
      <c r="C9" s="41">
        <v>16.399999999999999</v>
      </c>
      <c r="D9" s="77">
        <f>IFERROR(E9-C9,"n.a.")</f>
        <v>-1.8999999999999986</v>
      </c>
      <c r="E9" s="41">
        <v>14.5</v>
      </c>
      <c r="F9" s="77">
        <f>IFERROR(G9-E9,"n.a.")</f>
        <v>5.1999999999999993</v>
      </c>
      <c r="G9" s="41">
        <v>19.7</v>
      </c>
      <c r="H9" s="77">
        <f>IFERROR(I9-G9,"n.a.")</f>
        <v>3.5</v>
      </c>
      <c r="I9" s="52">
        <f>'Adj. EBIT bridge - FY'!F9</f>
        <v>23.2</v>
      </c>
      <c r="J9" s="41">
        <v>-8</v>
      </c>
      <c r="K9" s="77">
        <f>IFERROR(L9-J9,"n.a.")</f>
        <v>-4.5</v>
      </c>
      <c r="L9" s="41">
        <v>-12.5</v>
      </c>
      <c r="M9" s="77">
        <f>IFERROR(N9-L9,"n.a.")</f>
        <v>-16.5</v>
      </c>
      <c r="N9" s="86">
        <v>-29</v>
      </c>
      <c r="O9" s="77">
        <f>IFERROR(P9-N9,"n.a.")</f>
        <v>-39.299999999999997</v>
      </c>
      <c r="P9" s="52">
        <f>'Adj. EBIT bridge - FY'!G9</f>
        <v>-68.3</v>
      </c>
      <c r="Q9" s="41">
        <v>-37.700000000000003</v>
      </c>
      <c r="R9" s="77">
        <f>IFERROR(S9-Q9,"n.a.")</f>
        <v>-19.199999999999996</v>
      </c>
      <c r="S9" s="41">
        <v>-56.9</v>
      </c>
      <c r="T9" s="77">
        <f>IFERROR(U9-S9,"n.a.")</f>
        <v>3</v>
      </c>
      <c r="U9" s="86">
        <v>-53.9</v>
      </c>
      <c r="V9" s="77">
        <f>IFERROR(W9-U9,"n.a.")</f>
        <v>9.1000000000000014</v>
      </c>
      <c r="W9" s="52">
        <f>'Adj. EBIT bridge - FY'!H9</f>
        <v>-44.8</v>
      </c>
      <c r="X9" s="41">
        <v>-95</v>
      </c>
      <c r="Y9" s="77">
        <f>IFERROR(Z9-X9,"n.a.")</f>
        <v>-237.20000000000005</v>
      </c>
      <c r="Z9" s="41">
        <v>-332.20000000000005</v>
      </c>
      <c r="AA9" s="77">
        <f>IFERROR(AB9-Z9,"n.a.")</f>
        <v>-22.399999999999977</v>
      </c>
      <c r="AB9" s="86">
        <v>-354.6</v>
      </c>
      <c r="AC9" s="77">
        <f>IFERROR(AD9-AB9,"n.a.")</f>
        <v>4.0200000000000387</v>
      </c>
      <c r="AD9" s="52">
        <f>'Adj. EBIT bridge - FY'!I9</f>
        <v>-350.58</v>
      </c>
      <c r="AE9" s="228">
        <v>95.9</v>
      </c>
      <c r="AF9" s="77">
        <f>IFERROR(AG9-AE9,"n.a.")</f>
        <v>219.07000000000002</v>
      </c>
      <c r="AG9" s="41">
        <v>314.97000000000003</v>
      </c>
      <c r="AH9" s="77">
        <f>IFERROR(AI9-AG9,"n.a.")</f>
        <v>-5.4700000000000273</v>
      </c>
      <c r="AI9" s="228">
        <v>309.5</v>
      </c>
      <c r="AJ9" s="77">
        <f>IFERROR(AK9-AI9,"n.a.")</f>
        <v>-42.899999999999977</v>
      </c>
      <c r="AK9" s="52">
        <f>'Adj. EBIT bridge - FY'!J9</f>
        <v>266.60000000000002</v>
      </c>
      <c r="AL9" s="228">
        <v>-7.4</v>
      </c>
      <c r="AM9" s="77">
        <f>IFERROR(AN9-AL9,"n.a.")</f>
        <v>-3.5</v>
      </c>
      <c r="AN9" s="41">
        <v>-10.9</v>
      </c>
      <c r="AO9" s="77">
        <f>IFERROR(AP9-AN9,"n.a.")</f>
        <v>10.993315814704173</v>
      </c>
      <c r="AP9" s="228">
        <v>9.331581470417305E-2</v>
      </c>
      <c r="AQ9" s="77">
        <f>IFERROR(AR9-AP9,"n.a.")</f>
        <v>-21.893315814704174</v>
      </c>
      <c r="AR9" s="52">
        <f>'Adj. EBIT bridge - FY'!K9</f>
        <v>-21.8</v>
      </c>
      <c r="AS9" s="228">
        <v>-20.399999999999999</v>
      </c>
      <c r="AT9" s="77">
        <f>IFERROR(AU9-AS9,"n.a.")</f>
        <v>-8.16</v>
      </c>
      <c r="AU9" s="41">
        <v>-28.56</v>
      </c>
      <c r="AV9" s="77">
        <f>IFERROR(AW9-AU9,"n.a.")</f>
        <v>-35.999635921022403</v>
      </c>
      <c r="AW9" s="41">
        <v>-64.559635921022405</v>
      </c>
    </row>
    <row r="10" spans="1:50" x14ac:dyDescent="0.2">
      <c r="C10" s="198"/>
      <c r="D10" s="213"/>
      <c r="E10" s="198"/>
      <c r="F10" s="213"/>
      <c r="G10" s="198"/>
      <c r="H10" s="213"/>
      <c r="I10" s="198"/>
      <c r="J10" s="198"/>
      <c r="K10" s="213"/>
      <c r="L10" s="198"/>
      <c r="M10" s="213"/>
      <c r="N10" s="214"/>
      <c r="O10" s="214"/>
      <c r="P10" s="198"/>
      <c r="Q10" s="198"/>
      <c r="R10" s="213"/>
      <c r="S10" s="198"/>
      <c r="T10" s="213"/>
      <c r="U10" s="214"/>
      <c r="V10" s="214"/>
      <c r="W10" s="198"/>
      <c r="X10" s="198"/>
      <c r="Y10" s="213"/>
      <c r="Z10" s="198"/>
      <c r="AA10" s="213"/>
      <c r="AB10" s="214"/>
      <c r="AC10" s="214"/>
      <c r="AD10" s="198"/>
      <c r="AE10" s="198"/>
      <c r="AF10" s="213"/>
      <c r="AG10" s="198"/>
      <c r="AH10" s="213"/>
      <c r="AI10" s="214"/>
      <c r="AJ10" s="214"/>
      <c r="AK10" s="198"/>
      <c r="AL10" s="198"/>
      <c r="AM10" s="213"/>
      <c r="AN10" s="198"/>
      <c r="AO10" s="213"/>
      <c r="AP10" s="214"/>
      <c r="AQ10" s="214"/>
      <c r="AR10" s="198"/>
      <c r="AS10" s="198"/>
      <c r="AT10" s="213"/>
      <c r="AU10" s="198"/>
      <c r="AV10" s="213"/>
      <c r="AW10" s="198"/>
    </row>
    <row r="11" spans="1:50" x14ac:dyDescent="0.2">
      <c r="A11" s="35" t="s">
        <v>28</v>
      </c>
      <c r="B11" s="14"/>
      <c r="C11" s="41">
        <v>39.6</v>
      </c>
      <c r="D11" s="77">
        <f>IFERROR(E11-C11,"n.a.")</f>
        <v>71</v>
      </c>
      <c r="E11" s="41">
        <v>110.6</v>
      </c>
      <c r="F11" s="77">
        <f>IFERROR(G11-E11,"n.a.")</f>
        <v>90.800000000000011</v>
      </c>
      <c r="G11" s="41">
        <v>201.4</v>
      </c>
      <c r="H11" s="77">
        <f>IFERROR(I11-G11,"n.a.")</f>
        <v>76.099999999999994</v>
      </c>
      <c r="I11" s="52">
        <f>'Adj. EBIT bridge - FY'!F11</f>
        <v>277.5</v>
      </c>
      <c r="J11" s="41">
        <v>62.7</v>
      </c>
      <c r="K11" s="77">
        <f>IFERROR(L11-J11,"n.a.")</f>
        <v>50.099999999999994</v>
      </c>
      <c r="L11" s="41">
        <v>112.8</v>
      </c>
      <c r="M11" s="77">
        <f>IFERROR(N11-L11,"n.a.")</f>
        <v>47.000000000000014</v>
      </c>
      <c r="N11" s="86">
        <v>159.80000000000001</v>
      </c>
      <c r="O11" s="77">
        <f>IFERROR(P11-N11,"n.a.")</f>
        <v>78.899999999999977</v>
      </c>
      <c r="P11" s="52">
        <f>'Adj. EBIT bridge - FY'!G11</f>
        <v>238.7</v>
      </c>
      <c r="Q11" s="41">
        <v>62.7</v>
      </c>
      <c r="R11" s="77">
        <f>IFERROR(S11-Q11,"n.a.")</f>
        <v>37.899999999999991</v>
      </c>
      <c r="S11" s="41">
        <v>100.6</v>
      </c>
      <c r="T11" s="77">
        <f>IFERROR(U11-S11,"n.a.")</f>
        <v>20</v>
      </c>
      <c r="U11" s="86">
        <v>120.6</v>
      </c>
      <c r="V11" s="77">
        <f>IFERROR(W11-U11,"n.a.")</f>
        <v>2.3000000000000114</v>
      </c>
      <c r="W11" s="52">
        <f>'Adj. EBIT bridge - FY'!H11</f>
        <v>122.9</v>
      </c>
      <c r="X11" s="41">
        <v>-14.87</v>
      </c>
      <c r="Y11" s="77">
        <f>IFERROR(Z11-X11,"n.a.")</f>
        <v>21.869999999999997</v>
      </c>
      <c r="Z11" s="41">
        <v>7</v>
      </c>
      <c r="AA11" s="77">
        <f>IFERROR(AB11-Z11,"n.a.")</f>
        <v>14.399999999999999</v>
      </c>
      <c r="AB11" s="86">
        <v>21.4</v>
      </c>
      <c r="AC11" s="77">
        <f>IFERROR(AD11-AB11,"n.a.")</f>
        <v>-1.8699999999999974</v>
      </c>
      <c r="AD11" s="52">
        <f>'Adj. EBIT bridge - FY'!I11</f>
        <v>19.53</v>
      </c>
      <c r="AE11" s="228">
        <v>16</v>
      </c>
      <c r="AF11" s="77">
        <f>IFERROR(AG11-AE11,"n.a.")</f>
        <v>31</v>
      </c>
      <c r="AG11" s="41">
        <v>47</v>
      </c>
      <c r="AH11" s="77">
        <f>IFERROR(AI11-AG11,"n.a.")</f>
        <v>103</v>
      </c>
      <c r="AI11" s="228">
        <v>150</v>
      </c>
      <c r="AJ11" s="77">
        <f>IFERROR(AK11-AI11,"n.a.")</f>
        <v>132.69999999999999</v>
      </c>
      <c r="AK11" s="52">
        <f>'Adj. EBIT bridge - FY'!J11</f>
        <v>282.7</v>
      </c>
      <c r="AL11" s="228">
        <v>206.2</v>
      </c>
      <c r="AM11" s="77">
        <f>IFERROR(AN11-AL11,"n.a.")</f>
        <v>229.2</v>
      </c>
      <c r="AN11" s="41">
        <v>435.4</v>
      </c>
      <c r="AO11" s="77">
        <f>IFERROR(AP11-AN11,"n.a.")</f>
        <v>241.95000000000005</v>
      </c>
      <c r="AP11" s="228">
        <v>677.35</v>
      </c>
      <c r="AQ11" s="77">
        <f>IFERROR(AR11-AP11-0.1,"n.a.")</f>
        <v>213.25000000000003</v>
      </c>
      <c r="AR11" s="52">
        <f>'Adj. EBIT bridge - FY'!K11</f>
        <v>890.7</v>
      </c>
      <c r="AS11" s="228">
        <v>198.3</v>
      </c>
      <c r="AT11" s="77">
        <f>IFERROR(AU11-AS11,"n.a.")</f>
        <v>146.58999999999997</v>
      </c>
      <c r="AU11" s="41">
        <v>344.89</v>
      </c>
      <c r="AV11" s="77">
        <f>IFERROR(AW11-AU11,"n.a.")</f>
        <v>103.75770111867024</v>
      </c>
      <c r="AW11" s="41">
        <v>448.64770111867023</v>
      </c>
    </row>
    <row r="12" spans="1:50" x14ac:dyDescent="0.2">
      <c r="C12" s="198"/>
      <c r="D12" s="213"/>
      <c r="E12" s="198"/>
      <c r="F12" s="213"/>
      <c r="G12" s="198"/>
      <c r="H12" s="213"/>
      <c r="I12" s="198"/>
      <c r="J12" s="198"/>
      <c r="K12" s="213"/>
      <c r="L12" s="198"/>
      <c r="M12" s="213"/>
      <c r="N12" s="214"/>
      <c r="O12" s="214"/>
      <c r="P12" s="198"/>
      <c r="Q12" s="198"/>
      <c r="R12" s="213"/>
      <c r="S12" s="198"/>
      <c r="T12" s="213"/>
      <c r="U12" s="214"/>
      <c r="V12" s="214"/>
      <c r="W12" s="198"/>
      <c r="X12" s="198"/>
      <c r="Y12" s="213"/>
      <c r="Z12" s="198"/>
      <c r="AA12" s="213"/>
      <c r="AB12" s="214"/>
      <c r="AC12" s="214"/>
      <c r="AD12" s="198"/>
      <c r="AE12" s="198"/>
      <c r="AF12" s="213"/>
      <c r="AG12" s="198"/>
      <c r="AH12" s="213"/>
      <c r="AI12" s="214"/>
      <c r="AJ12" s="214"/>
      <c r="AK12" s="198"/>
      <c r="AL12" s="198"/>
      <c r="AM12" s="213"/>
      <c r="AN12" s="198"/>
      <c r="AO12" s="213"/>
      <c r="AP12" s="214"/>
      <c r="AQ12" s="214"/>
      <c r="AR12" s="198"/>
      <c r="AS12" s="198"/>
      <c r="AT12" s="213"/>
      <c r="AU12" s="198"/>
      <c r="AV12" s="213"/>
      <c r="AW12" s="198"/>
    </row>
    <row r="13" spans="1:50" x14ac:dyDescent="0.2">
      <c r="A13" s="35" t="s">
        <v>44</v>
      </c>
      <c r="B13" s="14"/>
      <c r="C13" s="41">
        <v>7.4</v>
      </c>
      <c r="D13" s="77">
        <f>IFERROR(E13-C13,"n.a.")</f>
        <v>17.399999999999999</v>
      </c>
      <c r="E13" s="41">
        <v>24.8</v>
      </c>
      <c r="F13" s="77">
        <f>IFERROR(G13-E13,"n.a.")</f>
        <v>9.1999999999999993</v>
      </c>
      <c r="G13" s="41">
        <v>34</v>
      </c>
      <c r="H13" s="77">
        <f>IFERROR(I13-G13,"n.a.")</f>
        <v>12.600000000000001</v>
      </c>
      <c r="I13" s="52">
        <f>'Adj. EBIT bridge - FY'!F13</f>
        <v>46.6</v>
      </c>
      <c r="J13" s="41">
        <v>9</v>
      </c>
      <c r="K13" s="77">
        <f>IFERROR(L13-J13,"n.a.")</f>
        <v>10</v>
      </c>
      <c r="L13" s="41">
        <v>19</v>
      </c>
      <c r="M13" s="77">
        <f>IFERROR(N13-L13,"n.a.")</f>
        <v>23.6</v>
      </c>
      <c r="N13" s="86">
        <v>42.6</v>
      </c>
      <c r="O13" s="77">
        <f>IFERROR(P13-N13,"n.a.")</f>
        <v>27.499999999999993</v>
      </c>
      <c r="P13" s="52">
        <f>'Adj. EBIT bridge - FY'!G13</f>
        <v>70.099999999999994</v>
      </c>
      <c r="Q13" s="41">
        <v>16.399999999999999</v>
      </c>
      <c r="R13" s="77">
        <f>IFERROR(S13-Q13,"n.a.")</f>
        <v>19.700000000000003</v>
      </c>
      <c r="S13" s="41">
        <v>36.1</v>
      </c>
      <c r="T13" s="77">
        <f>IFERROR(U13-S13,"n.a.")</f>
        <v>20</v>
      </c>
      <c r="U13" s="86">
        <v>56.1</v>
      </c>
      <c r="V13" s="77">
        <f>IFERROR(W13-U13,"n.a.")</f>
        <v>13.899999999999999</v>
      </c>
      <c r="W13" s="52">
        <f>'Adj. EBIT bridge - FY'!H13</f>
        <v>70</v>
      </c>
      <c r="X13" s="41">
        <v>31.22</v>
      </c>
      <c r="Y13" s="77">
        <f>IFERROR(Z13-X13,"n.a.")</f>
        <v>32.58</v>
      </c>
      <c r="Z13" s="41">
        <v>63.8</v>
      </c>
      <c r="AA13" s="77">
        <f>IFERROR(AB13-Z13,"n.a.")</f>
        <v>45</v>
      </c>
      <c r="AB13" s="86">
        <v>108.8</v>
      </c>
      <c r="AC13" s="77">
        <f>IFERROR(AD13-AB13,"n.a.")</f>
        <v>50.8</v>
      </c>
      <c r="AD13" s="52">
        <f>'Adj. EBIT bridge - FY'!I13</f>
        <v>159.6</v>
      </c>
      <c r="AE13" s="228">
        <v>25.8</v>
      </c>
      <c r="AF13" s="77">
        <f>IFERROR(AG13-AE13,"n.a.")</f>
        <v>56.7</v>
      </c>
      <c r="AG13" s="41">
        <v>82.5</v>
      </c>
      <c r="AH13" s="77">
        <f>IFERROR(AI13-AG13,"n.a.")</f>
        <v>27.200000000000003</v>
      </c>
      <c r="AI13" s="228">
        <v>109.7</v>
      </c>
      <c r="AJ13" s="77">
        <f>IFERROR(AK13-AI13,"n.a.")</f>
        <v>44.899999999999991</v>
      </c>
      <c r="AK13" s="52">
        <f>'Adj. EBIT bridge - FY'!J13</f>
        <v>154.6</v>
      </c>
      <c r="AL13" s="228">
        <v>28.6</v>
      </c>
      <c r="AM13" s="77">
        <f>IFERROR(AN13-AL13,"n.a.")</f>
        <v>23.1</v>
      </c>
      <c r="AN13" s="41">
        <v>51.7</v>
      </c>
      <c r="AO13" s="77">
        <f>IFERROR(AP13-AN13,"n.a.")</f>
        <v>33.899999999999991</v>
      </c>
      <c r="AP13" s="228">
        <v>85.6</v>
      </c>
      <c r="AQ13" s="77">
        <f>IFERROR(AR13-AP13,"n.a.")</f>
        <v>50.399999999999949</v>
      </c>
      <c r="AR13" s="52">
        <f>'Adj. EBIT bridge - FY'!K13</f>
        <v>135.99999999999994</v>
      </c>
      <c r="AS13" s="228">
        <v>9.8000000000000007</v>
      </c>
      <c r="AT13" s="77">
        <f>IFERROR(AU13-AS13,"n.a.")</f>
        <v>20.62</v>
      </c>
      <c r="AU13" s="41">
        <v>30.42</v>
      </c>
      <c r="AV13" s="77">
        <f>IFERROR(AW13-AU13,"n.a.")</f>
        <v>30.977027597899294</v>
      </c>
      <c r="AW13" s="41">
        <v>61.397027597899296</v>
      </c>
    </row>
    <row r="14" spans="1:50" hidden="1" outlineLevel="1" x14ac:dyDescent="0.2">
      <c r="C14" s="40"/>
      <c r="D14" s="212"/>
      <c r="E14" s="40"/>
      <c r="F14" s="212"/>
      <c r="G14" s="40"/>
      <c r="H14" s="212"/>
      <c r="I14" s="40"/>
      <c r="J14" s="40"/>
      <c r="K14" s="212"/>
      <c r="L14" s="40"/>
      <c r="M14" s="212"/>
      <c r="N14" s="119"/>
      <c r="O14" s="119"/>
      <c r="P14" s="40"/>
      <c r="Q14" s="40"/>
      <c r="R14" s="212"/>
      <c r="S14" s="40"/>
      <c r="T14" s="212"/>
      <c r="U14" s="119"/>
      <c r="V14" s="119"/>
      <c r="W14" s="40"/>
      <c r="X14" s="40"/>
      <c r="Y14" s="212"/>
      <c r="Z14" s="40"/>
      <c r="AA14" s="212"/>
      <c r="AB14" s="119"/>
      <c r="AC14" s="119"/>
      <c r="AD14" s="40"/>
      <c r="AE14" s="40"/>
      <c r="AF14" s="212"/>
      <c r="AG14" s="40"/>
      <c r="AH14" s="212"/>
      <c r="AI14" s="119"/>
      <c r="AJ14" s="119"/>
      <c r="AK14" s="40"/>
      <c r="AL14" s="40"/>
      <c r="AM14" s="212"/>
      <c r="AN14" s="40"/>
      <c r="AO14" s="212"/>
      <c r="AP14" s="119"/>
      <c r="AQ14" s="119"/>
      <c r="AR14" s="40"/>
      <c r="AS14" s="40"/>
      <c r="AT14" s="212"/>
      <c r="AU14" s="40"/>
      <c r="AV14" s="212"/>
      <c r="AW14" s="40"/>
    </row>
    <row r="15" spans="1:50" hidden="1" outlineLevel="1" x14ac:dyDescent="0.2">
      <c r="A15" s="35" t="s">
        <v>32</v>
      </c>
      <c r="B15" s="14"/>
      <c r="C15" s="52">
        <f>IFERROR('Fin. Highlights - Interim'!J22-'Fin. Highlights - Interim'!C22,"n.a.")</f>
        <v>-14.5</v>
      </c>
      <c r="D15" s="77">
        <f>IFERROR(E15-C15,"n.a.")</f>
        <v>-12.3</v>
      </c>
      <c r="E15" s="52">
        <f>IFERROR('Fin. Highlights - Interim'!L22-'Fin. Highlights - Interim'!E22,"n.a.")</f>
        <v>-26.8</v>
      </c>
      <c r="F15" s="77">
        <f>IFERROR(G15-E15,"n.a.")</f>
        <v>-12.2</v>
      </c>
      <c r="G15" s="52">
        <f>IFERROR('Fin. Highlights - Interim'!N22-'Fin. Highlights - Interim'!G22,"n.a.")</f>
        <v>-39</v>
      </c>
      <c r="H15" s="77">
        <f>IFERROR(I15-G15,"n.a.")</f>
        <v>-11.200000000000003</v>
      </c>
      <c r="I15" s="52">
        <f>IFERROR('Fin. Highlights - Interim'!P22-'Fin. Highlights - Interim'!I22,"n.a.")</f>
        <v>-50.2</v>
      </c>
      <c r="J15" s="52">
        <f>IFERROR('Fin. Highlights - Interim'!Q22-'Fin. Highlights - Interim'!J22,"n.a.")</f>
        <v>3.5</v>
      </c>
      <c r="K15" s="77">
        <f>IFERROR(L15-J15,"n.a.")</f>
        <v>0.10000000000001208</v>
      </c>
      <c r="L15" s="52">
        <f>IFERROR('Fin. Highlights - Interim'!S22-'Fin. Highlights - Interim'!L22,"n.a.")</f>
        <v>3.6000000000000121</v>
      </c>
      <c r="M15" s="77">
        <f>IFERROR(N15-L15,"n.a.")</f>
        <v>3.3999999999999879</v>
      </c>
      <c r="N15" s="115">
        <f>IFERROR('Fin. Highlights - Interim'!U22-'Fin. Highlights - Interim'!N22,"n.a.")</f>
        <v>7</v>
      </c>
      <c r="O15" s="77">
        <f>IFERROR(P15-N15,"n.a.")</f>
        <v>-4.5</v>
      </c>
      <c r="P15" s="52">
        <f>IFERROR('Fin. Highlights - Interim'!W22-'Fin. Highlights - Interim'!P22,"n.a.")</f>
        <v>2.5</v>
      </c>
      <c r="Q15" s="52">
        <f>IFERROR('Fin. Highlights - Interim'!X22-'Fin. Highlights - Interim'!Q22,"n.a.")</f>
        <v>-0.5</v>
      </c>
      <c r="R15" s="77">
        <f>IFERROR(S15-Q15,"n.a.")</f>
        <v>1.8000000000000114</v>
      </c>
      <c r="S15" s="52">
        <f>IFERROR('Fin. Highlights - Interim'!Z22-'Fin. Highlights - Interim'!S22,"n.a.")</f>
        <v>1.3000000000000114</v>
      </c>
      <c r="T15" s="77">
        <f>IFERROR(U15-S15,"n.a.")</f>
        <v>1.2999999999999901</v>
      </c>
      <c r="U15" s="115">
        <f>IFERROR('Fin. Highlights - Interim'!AB22-'Fin. Highlights - Interim'!U22,"n.a.")</f>
        <v>2.6000000000000014</v>
      </c>
      <c r="V15" s="77">
        <f>IFERROR(W15-U15,"n.a.")</f>
        <v>3.8000000000000043</v>
      </c>
      <c r="W15" s="52">
        <f>IFERROR('Fin. Highlights - Interim'!AD22-'Fin. Highlights - Interim'!W22,"n.a.")</f>
        <v>6.4000000000000057</v>
      </c>
      <c r="X15" s="52"/>
      <c r="Y15" s="77"/>
      <c r="Z15" s="52"/>
      <c r="AA15" s="77"/>
      <c r="AB15" s="115"/>
      <c r="AC15" s="77"/>
      <c r="AD15" s="52"/>
      <c r="AE15" s="52"/>
      <c r="AF15" s="77"/>
      <c r="AG15" s="52"/>
      <c r="AH15" s="77"/>
      <c r="AI15" s="229"/>
      <c r="AJ15" s="77"/>
      <c r="AK15" s="52"/>
      <c r="AL15" s="52"/>
      <c r="AM15" s="77"/>
      <c r="AN15" s="52"/>
      <c r="AO15" s="77"/>
      <c r="AP15" s="229"/>
      <c r="AQ15" s="77"/>
      <c r="AR15" s="52"/>
      <c r="AS15" s="52"/>
      <c r="AT15" s="77"/>
      <c r="AU15" s="52"/>
      <c r="AV15" s="77"/>
      <c r="AW15" s="52"/>
    </row>
    <row r="16" spans="1:50" collapsed="1" x14ac:dyDescent="0.2">
      <c r="C16" s="198"/>
      <c r="D16" s="213"/>
      <c r="E16" s="198"/>
      <c r="F16" s="213"/>
      <c r="G16" s="198"/>
      <c r="H16" s="213"/>
      <c r="I16" s="198"/>
      <c r="J16" s="198"/>
      <c r="K16" s="213"/>
      <c r="L16" s="198"/>
      <c r="M16" s="214"/>
      <c r="N16" s="214"/>
      <c r="O16" s="214"/>
      <c r="P16" s="198"/>
      <c r="Q16" s="198"/>
      <c r="R16" s="213"/>
      <c r="S16" s="198"/>
      <c r="T16" s="214"/>
      <c r="U16" s="214"/>
      <c r="V16" s="214"/>
      <c r="W16" s="198"/>
      <c r="X16" s="198"/>
      <c r="Y16" s="213"/>
      <c r="Z16" s="198"/>
      <c r="AA16" s="214"/>
      <c r="AB16" s="214"/>
      <c r="AC16" s="214"/>
      <c r="AD16" s="198"/>
      <c r="AE16" s="198"/>
      <c r="AF16" s="213"/>
      <c r="AG16" s="198"/>
      <c r="AH16" s="214"/>
      <c r="AI16" s="214"/>
      <c r="AJ16" s="214"/>
      <c r="AK16" s="198"/>
      <c r="AL16" s="198"/>
      <c r="AM16" s="213"/>
      <c r="AN16" s="198"/>
      <c r="AO16" s="214"/>
      <c r="AP16" s="214"/>
      <c r="AQ16" s="214"/>
      <c r="AR16" s="198"/>
      <c r="AS16" s="198"/>
      <c r="AT16" s="213"/>
      <c r="AU16" s="198"/>
      <c r="AV16" s="213"/>
      <c r="AW16" s="198"/>
    </row>
    <row r="17" spans="1:49" x14ac:dyDescent="0.2">
      <c r="A17" s="35" t="s">
        <v>47</v>
      </c>
      <c r="B17" s="14"/>
      <c r="C17" s="41">
        <v>-23.6</v>
      </c>
      <c r="D17" s="77">
        <f>IFERROR(E17-C17,"n.a.")</f>
        <v>5.3000000000000078</v>
      </c>
      <c r="E17" s="41">
        <v>-18.299999999999994</v>
      </c>
      <c r="F17" s="77">
        <f>IFERROR(G17-E17,"n.a.")</f>
        <v>-12.400000000000006</v>
      </c>
      <c r="G17" s="41">
        <v>-30.7</v>
      </c>
      <c r="H17" s="77">
        <f>IFERROR(I17-G17,"n.a.")</f>
        <v>-9.1999999999999922</v>
      </c>
      <c r="I17" s="52">
        <f>'Adj. EBIT bridge - FY'!F17</f>
        <v>-39.899999999999991</v>
      </c>
      <c r="J17" s="41">
        <v>-21.4</v>
      </c>
      <c r="K17" s="77">
        <f>IFERROR(L17-J17,"n.a.")</f>
        <v>-15.899999999999999</v>
      </c>
      <c r="L17" s="41">
        <v>-37.299999999999997</v>
      </c>
      <c r="M17" s="77">
        <f>IFERROR(N17-L17,"n.a.")</f>
        <v>4.7999999999999972</v>
      </c>
      <c r="N17" s="86">
        <v>-32.5</v>
      </c>
      <c r="O17" s="77">
        <f>IFERROR(P17-N17,"n.a.")</f>
        <v>11.8</v>
      </c>
      <c r="P17" s="52">
        <f>'Adj. EBIT bridge - FY'!G17</f>
        <v>-20.7</v>
      </c>
      <c r="Q17" s="41">
        <v>3.9</v>
      </c>
      <c r="R17" s="77">
        <f>IFERROR(S17-Q17,"n.a.")</f>
        <v>3.4999999999999987</v>
      </c>
      <c r="S17" s="41">
        <v>7.3999999999999986</v>
      </c>
      <c r="T17" s="77">
        <f>IFERROR(U17-S17,"n.a.")</f>
        <v>-26.799999999999997</v>
      </c>
      <c r="U17" s="41">
        <v>-19.399999999999999</v>
      </c>
      <c r="V17" s="77">
        <f>IFERROR(W17-U17,"n.a.")</f>
        <v>-31.300000000000004</v>
      </c>
      <c r="W17" s="52">
        <f>'Adj. EBIT bridge - FY'!H17</f>
        <v>-50.7</v>
      </c>
      <c r="X17" s="41">
        <v>20.2</v>
      </c>
      <c r="Y17" s="77">
        <f>IFERROR(Z17-X17,"n.a.")</f>
        <v>-78.5</v>
      </c>
      <c r="Z17" s="41">
        <v>-58.3</v>
      </c>
      <c r="AA17" s="77">
        <f>IFERROR(AB17-Z17,"n.a.")</f>
        <v>-30.900000000000006</v>
      </c>
      <c r="AB17" s="41">
        <v>-89.2</v>
      </c>
      <c r="AC17" s="77">
        <f>IFERROR(AD17-AB17,"n.a.")</f>
        <v>-25.299999999999997</v>
      </c>
      <c r="AD17" s="52">
        <f>'Adj. EBIT bridge - FY'!I17</f>
        <v>-114.5</v>
      </c>
      <c r="AE17" s="228">
        <v>-77.099999999999994</v>
      </c>
      <c r="AF17" s="77">
        <f>IFERROR(AG17-AE17,"n.a.")</f>
        <v>26.699999999999996</v>
      </c>
      <c r="AG17" s="228">
        <v>-50.4</v>
      </c>
      <c r="AH17" s="77">
        <f>IFERROR(AI17-AG17,"n.a.")</f>
        <v>-18.300000000000004</v>
      </c>
      <c r="AI17" s="228">
        <v>-68.7</v>
      </c>
      <c r="AJ17" s="77">
        <f>IFERROR(AK17-AI17,"n.a.")</f>
        <v>-12.200000000000003</v>
      </c>
      <c r="AK17" s="52">
        <f>'Adj. EBIT bridge - FY'!J17</f>
        <v>-80.900000000000006</v>
      </c>
      <c r="AL17" s="228">
        <v>-0.5</v>
      </c>
      <c r="AM17" s="77">
        <f>IFERROR(AN17-AL17,"n.a.")</f>
        <v>-10.1</v>
      </c>
      <c r="AN17" s="228">
        <v>-10.6</v>
      </c>
      <c r="AO17" s="77">
        <f>IFERROR(AP17-AN17,"n.a.")</f>
        <v>-34.1</v>
      </c>
      <c r="AP17" s="228">
        <v>-44.7</v>
      </c>
      <c r="AQ17" s="77">
        <f>IFERROR(AR17-AP17,"n.a.")</f>
        <v>-10</v>
      </c>
      <c r="AR17" s="52">
        <f>'Adj. EBIT bridge - FY'!K17</f>
        <v>-54.7</v>
      </c>
      <c r="AS17" s="228">
        <v>-6.5</v>
      </c>
      <c r="AT17" s="77">
        <f>IFERROR(AU17-AS17,"n.a.")</f>
        <v>-23.3</v>
      </c>
      <c r="AU17" s="228">
        <v>-29.8</v>
      </c>
      <c r="AV17" s="77">
        <f>IFERROR(AW17-AU17,"n.a.")</f>
        <v>-15.191491061155556</v>
      </c>
      <c r="AW17" s="228">
        <v>-44.991491061155557</v>
      </c>
    </row>
    <row r="18" spans="1:49" x14ac:dyDescent="0.2">
      <c r="C18" s="198"/>
      <c r="D18" s="213"/>
      <c r="E18" s="198"/>
      <c r="F18" s="213"/>
      <c r="G18" s="198"/>
      <c r="H18" s="213"/>
      <c r="I18" s="198"/>
      <c r="J18" s="198"/>
      <c r="K18" s="213"/>
      <c r="L18" s="198"/>
      <c r="M18" s="213"/>
      <c r="N18" s="214"/>
      <c r="O18" s="214"/>
      <c r="P18" s="198"/>
      <c r="Q18" s="198"/>
      <c r="R18" s="213"/>
      <c r="S18" s="198"/>
      <c r="T18" s="213"/>
      <c r="U18" s="214"/>
      <c r="V18" s="214"/>
      <c r="W18" s="198"/>
      <c r="X18" s="198"/>
      <c r="Y18" s="213"/>
      <c r="Z18" s="198"/>
      <c r="AA18" s="213"/>
      <c r="AB18" s="214"/>
      <c r="AC18" s="214"/>
      <c r="AD18" s="198"/>
      <c r="AE18" s="198"/>
      <c r="AF18" s="213"/>
      <c r="AG18" s="198"/>
      <c r="AH18" s="213"/>
      <c r="AI18" s="214"/>
      <c r="AJ18" s="214"/>
      <c r="AK18" s="198"/>
      <c r="AL18" s="198"/>
      <c r="AM18" s="213"/>
      <c r="AN18" s="198"/>
      <c r="AO18" s="213"/>
      <c r="AP18" s="214"/>
      <c r="AQ18" s="214"/>
      <c r="AR18" s="198"/>
      <c r="AS18" s="198"/>
      <c r="AT18" s="213"/>
      <c r="AU18" s="198"/>
      <c r="AV18" s="213"/>
      <c r="AW18" s="198"/>
    </row>
    <row r="19" spans="1:49" x14ac:dyDescent="0.2">
      <c r="A19" s="35" t="s">
        <v>43</v>
      </c>
      <c r="B19" s="14"/>
      <c r="C19" s="41">
        <v>-17.5</v>
      </c>
      <c r="D19" s="77">
        <f>IFERROR(E19-C19,"n.a.")</f>
        <v>-63.099999999999994</v>
      </c>
      <c r="E19" s="41">
        <v>-80.599999999999994</v>
      </c>
      <c r="F19" s="77">
        <f>IFERROR(G19-E19,"n.a.")</f>
        <v>-51</v>
      </c>
      <c r="G19" s="41">
        <v>-131.6</v>
      </c>
      <c r="H19" s="77">
        <f>IFERROR(I19-G19,"n.a.")</f>
        <v>-33.200000000000017</v>
      </c>
      <c r="I19" s="52">
        <f>'Adj. EBIT bridge - FY'!F19</f>
        <v>-164.8</v>
      </c>
      <c r="J19" s="41">
        <v>-13.8</v>
      </c>
      <c r="K19" s="77">
        <f>IFERROR(L19-J19,"n.a.")</f>
        <v>2.3000000000000007</v>
      </c>
      <c r="L19" s="41">
        <v>-11.5</v>
      </c>
      <c r="M19" s="77">
        <f>IFERROR(N19-L19,"n.a.")</f>
        <v>-12.7</v>
      </c>
      <c r="N19" s="86">
        <v>-24.2</v>
      </c>
      <c r="O19" s="77">
        <f>IFERROR(P19-N19,"n.a.")</f>
        <v>-27.8</v>
      </c>
      <c r="P19" s="52">
        <f>'Adj. EBIT bridge - FY'!G19</f>
        <v>-52</v>
      </c>
      <c r="Q19" s="41">
        <v>-27</v>
      </c>
      <c r="R19" s="77">
        <f>IFERROR(S19-Q19,"n.a.")</f>
        <v>-31.5</v>
      </c>
      <c r="S19" s="41">
        <v>-58.5</v>
      </c>
      <c r="T19" s="77">
        <f>IFERROR(U19-S19,"n.a.")</f>
        <v>-9.0999999999999943</v>
      </c>
      <c r="U19" s="86">
        <v>-67.599999999999994</v>
      </c>
      <c r="V19" s="77">
        <f>IFERROR(W19-U19,"n.a.")</f>
        <v>0.89999999999999147</v>
      </c>
      <c r="W19" s="52">
        <f>'Adj. EBIT bridge - FY'!H19</f>
        <v>-66.7</v>
      </c>
      <c r="X19" s="41">
        <v>-3.26</v>
      </c>
      <c r="Y19" s="77">
        <f>IFERROR(Z19-X19,"n.a.")</f>
        <v>-11.540000000000001</v>
      </c>
      <c r="Z19" s="41">
        <v>-14.8</v>
      </c>
      <c r="AA19" s="77">
        <f>IFERROR(AB19-Z19,"n.a.")</f>
        <v>-5</v>
      </c>
      <c r="AB19" s="86">
        <v>-19.8</v>
      </c>
      <c r="AC19" s="77">
        <f>IFERROR(AD19-AB19,"n.a.")</f>
        <v>-0.19999999999999929</v>
      </c>
      <c r="AD19" s="52">
        <f>'Adj. EBIT bridge - FY'!I19</f>
        <v>-20</v>
      </c>
      <c r="AE19" s="228">
        <v>-11.1</v>
      </c>
      <c r="AF19" s="77">
        <f>IFERROR(AG19-AE19,"n.a.")</f>
        <v>-27.6</v>
      </c>
      <c r="AG19" s="41">
        <v>-38.700000000000003</v>
      </c>
      <c r="AH19" s="77">
        <f>IFERROR(AI19-AG19,"n.a.")</f>
        <v>-75</v>
      </c>
      <c r="AI19" s="228">
        <v>-113.7</v>
      </c>
      <c r="AJ19" s="77">
        <f>IFERROR(AK19-AI19,"n.a.")</f>
        <v>-98.2</v>
      </c>
      <c r="AK19" s="52">
        <f>'Adj. EBIT bridge - FY'!J19</f>
        <v>-211.9</v>
      </c>
      <c r="AL19" s="228">
        <v>-119.9</v>
      </c>
      <c r="AM19" s="77">
        <f>IFERROR(AN19-AL19,"n.a.")</f>
        <v>-116.1</v>
      </c>
      <c r="AN19" s="41">
        <v>-236</v>
      </c>
      <c r="AO19" s="77">
        <f>IFERROR(AP19-AN19,"n.a.")</f>
        <v>-128.70339821067523</v>
      </c>
      <c r="AP19" s="228">
        <v>-364.70339821067523</v>
      </c>
      <c r="AQ19" s="77">
        <f>IFERROR(AR19-AP19,"n.a.")</f>
        <v>-126.75689536335085</v>
      </c>
      <c r="AR19" s="52">
        <f>'Adj. EBIT bridge - FY'!K19</f>
        <v>-491.46029357402608</v>
      </c>
      <c r="AS19" s="228">
        <v>-77.599999999999994</v>
      </c>
      <c r="AT19" s="77">
        <f>IFERROR(AU19-AS19,"n.a.")</f>
        <v>-21.580000000000013</v>
      </c>
      <c r="AU19" s="41">
        <v>-99.18</v>
      </c>
      <c r="AV19" s="77">
        <f>IFERROR(AW19-AU19,"n.a.")</f>
        <v>22.156475004448794</v>
      </c>
      <c r="AW19" s="41">
        <v>-77.023524995551213</v>
      </c>
    </row>
    <row r="20" spans="1:49" x14ac:dyDescent="0.2">
      <c r="C20" s="198"/>
      <c r="D20" s="213"/>
      <c r="E20" s="198"/>
      <c r="F20" s="213"/>
      <c r="G20" s="198"/>
      <c r="H20" s="213"/>
      <c r="I20" s="198"/>
      <c r="J20" s="198"/>
      <c r="K20" s="213"/>
      <c r="L20" s="198"/>
      <c r="M20" s="213"/>
      <c r="N20" s="214"/>
      <c r="O20" s="214"/>
      <c r="P20" s="198"/>
      <c r="Q20" s="198"/>
      <c r="R20" s="213"/>
      <c r="S20" s="198"/>
      <c r="T20" s="213"/>
      <c r="U20" s="214"/>
      <c r="V20" s="214"/>
      <c r="W20" s="198"/>
      <c r="X20" s="198"/>
      <c r="Y20" s="213"/>
      <c r="Z20" s="198"/>
      <c r="AA20" s="213"/>
      <c r="AB20" s="214"/>
      <c r="AC20" s="214"/>
      <c r="AD20" s="198"/>
      <c r="AE20" s="198"/>
      <c r="AF20" s="213"/>
      <c r="AG20" s="198"/>
      <c r="AH20" s="213"/>
      <c r="AI20" s="214"/>
      <c r="AJ20" s="214"/>
      <c r="AK20" s="198"/>
      <c r="AL20" s="198"/>
      <c r="AM20" s="213"/>
      <c r="AN20" s="198"/>
      <c r="AO20" s="213"/>
      <c r="AP20" s="214"/>
      <c r="AQ20" s="214"/>
      <c r="AR20" s="198"/>
      <c r="AS20" s="198"/>
      <c r="AT20" s="213"/>
      <c r="AU20" s="198"/>
      <c r="AV20" s="213"/>
      <c r="AW20" s="198"/>
    </row>
    <row r="21" spans="1:49" x14ac:dyDescent="0.2">
      <c r="A21" s="35" t="s">
        <v>45</v>
      </c>
      <c r="B21" s="14"/>
      <c r="C21" s="41">
        <v>-10.1</v>
      </c>
      <c r="D21" s="77">
        <f>IFERROR(E21-C21,"n.a.")</f>
        <v>-12.9</v>
      </c>
      <c r="E21" s="41">
        <v>-23</v>
      </c>
      <c r="F21" s="77">
        <f>IFERROR(G21-E21,"n.a.")</f>
        <v>-11.399999999999999</v>
      </c>
      <c r="G21" s="41">
        <v>-34.4</v>
      </c>
      <c r="H21" s="77">
        <f>IFERROR(I21-G21,"n.a.")</f>
        <v>-19.200000000000003</v>
      </c>
      <c r="I21" s="52">
        <f>'Adj. EBIT bridge - FY'!F21</f>
        <v>-53.6</v>
      </c>
      <c r="J21" s="41">
        <v>-11.4</v>
      </c>
      <c r="K21" s="77">
        <f>IFERROR(L21-J21,"n.a.")</f>
        <v>-11.9</v>
      </c>
      <c r="L21" s="41">
        <v>-23.3</v>
      </c>
      <c r="M21" s="77">
        <f>IFERROR(N21-L21,"n.a.")</f>
        <v>-14.099999999999998</v>
      </c>
      <c r="N21" s="86">
        <v>-37.4</v>
      </c>
      <c r="O21" s="77">
        <f>IFERROR(P21-N21,"n.a.")</f>
        <v>-10.899999999999999</v>
      </c>
      <c r="P21" s="52">
        <f>'Adj. EBIT bridge - FY'!G21</f>
        <v>-48.3</v>
      </c>
      <c r="Q21" s="41">
        <v>-14.9</v>
      </c>
      <c r="R21" s="77">
        <f>IFERROR(S21-Q21,"n.a.")</f>
        <v>-20</v>
      </c>
      <c r="S21" s="41">
        <v>-34.9</v>
      </c>
      <c r="T21" s="77">
        <f>IFERROR(U21-S21,"n.a.")</f>
        <v>-20</v>
      </c>
      <c r="U21" s="86">
        <v>-54.9</v>
      </c>
      <c r="V21" s="77">
        <f>IFERROR(W21-U21,"n.a.")</f>
        <v>-21.699999999999996</v>
      </c>
      <c r="W21" s="52">
        <f>'Adj. EBIT bridge - FY'!H21</f>
        <v>-76.599999999999994</v>
      </c>
      <c r="X21" s="41">
        <v>-15.2</v>
      </c>
      <c r="Y21" s="77">
        <f>IFERROR(Z21-X21,"n.a.")</f>
        <v>-7.6000000000000014</v>
      </c>
      <c r="Z21" s="41">
        <v>-22.8</v>
      </c>
      <c r="AA21" s="77">
        <f>IFERROR(AB21-Z21,"n.a.")</f>
        <v>-13.499999999999996</v>
      </c>
      <c r="AB21" s="86">
        <v>-36.299999999999997</v>
      </c>
      <c r="AC21" s="77">
        <f>IFERROR(AD21-AB21,"n.a.")</f>
        <v>-13.700000000000003</v>
      </c>
      <c r="AD21" s="52">
        <f>'Adj. EBIT bridge - FY'!I21</f>
        <v>-50</v>
      </c>
      <c r="AE21" s="228">
        <v>-10.8</v>
      </c>
      <c r="AF21" s="77">
        <f>IFERROR(AG21-AE21,"n.a.")</f>
        <v>-21.2</v>
      </c>
      <c r="AG21" s="244">
        <v>-32</v>
      </c>
      <c r="AH21" s="77">
        <f>IFERROR(AI21-AG21,"n.a.")</f>
        <v>-18.600000000000001</v>
      </c>
      <c r="AI21" s="228">
        <v>-50.6</v>
      </c>
      <c r="AJ21" s="77">
        <f>IFERROR(AK21-AI21,"n.a.")</f>
        <v>-34.4</v>
      </c>
      <c r="AK21" s="52">
        <f>'Adj. EBIT bridge - FY'!J21</f>
        <v>-85</v>
      </c>
      <c r="AL21" s="228">
        <v>-53.3</v>
      </c>
      <c r="AM21" s="77">
        <f>IFERROR(AN21-AL21,"n.a.")</f>
        <v>-87.570000000000007</v>
      </c>
      <c r="AN21" s="228">
        <v>-140.87</v>
      </c>
      <c r="AO21" s="77">
        <f>IFERROR(AP21-AN21,"n.a.")</f>
        <v>-85.807293636083728</v>
      </c>
      <c r="AP21" s="228">
        <v>-226.67729363608373</v>
      </c>
      <c r="AQ21" s="77">
        <f>IFERROR(AR21-AP21+0.1,"n.a.")</f>
        <v>-100.66270636391627</v>
      </c>
      <c r="AR21" s="52">
        <f>'Adj. EBIT bridge - FY'!K21</f>
        <v>-327.44</v>
      </c>
      <c r="AS21" s="228">
        <v>-68.599999999999994</v>
      </c>
      <c r="AT21" s="77">
        <f>IFERROR(AU21-AS21,"n.a.")</f>
        <v>-62.230000000000018</v>
      </c>
      <c r="AU21" s="228">
        <v>-130.83000000000001</v>
      </c>
      <c r="AV21" s="77">
        <f>IFERROR(AW21-AU21,"n.a.")</f>
        <v>-49.115385892533681</v>
      </c>
      <c r="AW21" s="228">
        <v>-179.94538589253369</v>
      </c>
    </row>
    <row r="22" spans="1:49" x14ac:dyDescent="0.2">
      <c r="C22" s="198"/>
      <c r="D22" s="213"/>
      <c r="E22" s="198"/>
      <c r="F22" s="213"/>
      <c r="G22" s="198"/>
      <c r="H22" s="213"/>
      <c r="I22" s="198"/>
      <c r="J22" s="198"/>
      <c r="K22" s="213"/>
      <c r="L22" s="198"/>
      <c r="M22" s="213"/>
      <c r="N22" s="214"/>
      <c r="O22" s="214"/>
      <c r="P22" s="198"/>
      <c r="Q22" s="198"/>
      <c r="R22" s="213"/>
      <c r="S22" s="198"/>
      <c r="T22" s="213"/>
      <c r="U22" s="214"/>
      <c r="V22" s="214"/>
      <c r="W22" s="198"/>
      <c r="X22" s="198"/>
      <c r="Y22" s="213"/>
      <c r="Z22" s="198"/>
      <c r="AA22" s="213"/>
      <c r="AB22" s="214"/>
      <c r="AC22" s="214"/>
      <c r="AD22" s="198"/>
      <c r="AE22" s="198"/>
      <c r="AF22" s="213"/>
      <c r="AG22" s="198"/>
      <c r="AH22" s="213"/>
      <c r="AI22" s="214"/>
      <c r="AJ22" s="214"/>
      <c r="AK22" s="198"/>
      <c r="AL22" s="198"/>
      <c r="AM22" s="213"/>
      <c r="AN22" s="198"/>
      <c r="AO22" s="213"/>
      <c r="AP22" s="214"/>
      <c r="AQ22" s="214"/>
      <c r="AR22" s="198"/>
      <c r="AS22" s="198"/>
      <c r="AT22" s="213"/>
      <c r="AU22" s="198"/>
      <c r="AV22" s="213"/>
      <c r="AW22" s="198"/>
    </row>
    <row r="23" spans="1:49" x14ac:dyDescent="0.2">
      <c r="A23" s="35" t="s">
        <v>46</v>
      </c>
      <c r="B23" s="14"/>
      <c r="C23" s="41">
        <v>3.7</v>
      </c>
      <c r="D23" s="77">
        <f>IFERROR(E23-C23,"n.a.")</f>
        <v>-1.9000000000000001</v>
      </c>
      <c r="E23" s="41">
        <v>1.8</v>
      </c>
      <c r="F23" s="77">
        <f>IFERROR(G23-E23,"n.a.")</f>
        <v>0.30000000000000004</v>
      </c>
      <c r="G23" s="41">
        <v>2.1</v>
      </c>
      <c r="H23" s="77">
        <f>IFERROR(I23-G23,"n.a.")</f>
        <v>-8.8000000000000007</v>
      </c>
      <c r="I23" s="52">
        <f>'Adj. EBIT bridge - FY'!F23</f>
        <v>-6.7</v>
      </c>
      <c r="J23" s="41">
        <v>-7.2</v>
      </c>
      <c r="K23" s="77">
        <f>IFERROR(L23-J23,"n.a.")</f>
        <v>-9.6999999999999993</v>
      </c>
      <c r="L23" s="41">
        <v>-16.899999999999999</v>
      </c>
      <c r="M23" s="77">
        <f>IFERROR(N23-L23,"n.a.")</f>
        <v>-11.5</v>
      </c>
      <c r="N23" s="86">
        <v>-28.4</v>
      </c>
      <c r="O23" s="77">
        <f>IFERROR(P23-N23,"n.a.")</f>
        <v>-14.978778255913291</v>
      </c>
      <c r="P23" s="52">
        <f>'Adj. EBIT bridge - FY'!G23</f>
        <v>-43.378778255913289</v>
      </c>
      <c r="Q23" s="41">
        <v>-2.1</v>
      </c>
      <c r="R23" s="77">
        <f>IFERROR(S23-Q23,"n.a.")</f>
        <v>-2.6</v>
      </c>
      <c r="S23" s="41">
        <v>-4.7</v>
      </c>
      <c r="T23" s="77">
        <f>IFERROR(U23-S23,"n.a.")</f>
        <v>6.1</v>
      </c>
      <c r="U23" s="86">
        <v>1.4</v>
      </c>
      <c r="V23" s="77">
        <f>IFERROR(W23-U23,"n.a.")</f>
        <v>0.40000000000000013</v>
      </c>
      <c r="W23" s="52">
        <f>'Adj. EBIT bridge - FY'!H23</f>
        <v>1.8</v>
      </c>
      <c r="X23" s="41">
        <v>-1.2</v>
      </c>
      <c r="Y23" s="77">
        <f>IFERROR(Z23-X23,"n.a.")</f>
        <v>-15.3</v>
      </c>
      <c r="Z23" s="41">
        <v>-16.5</v>
      </c>
      <c r="AA23" s="77">
        <f>IFERROR(AB23-Z23,"n.a.")</f>
        <v>-18.399999999999999</v>
      </c>
      <c r="AB23" s="86">
        <v>-34.9</v>
      </c>
      <c r="AC23" s="77">
        <f>IFERROR(AD23-AB23,"n.a.")</f>
        <v>-25.200000000000003</v>
      </c>
      <c r="AD23" s="52">
        <f>'Adj. EBIT bridge - FY'!I23</f>
        <v>-60.1</v>
      </c>
      <c r="AE23" s="228">
        <v>-11</v>
      </c>
      <c r="AF23" s="77">
        <f>IFERROR(AG23-AE23,"n.a.")</f>
        <v>-1.6999999999999993</v>
      </c>
      <c r="AG23" s="41">
        <v>-12.7</v>
      </c>
      <c r="AH23" s="77">
        <f>IFERROR(AI23-AG23,"n.a.")</f>
        <v>-5.1000000000000014</v>
      </c>
      <c r="AI23" s="228">
        <v>-17.8</v>
      </c>
      <c r="AJ23" s="77">
        <f>IFERROR(AK23-AI23,"n.a.")</f>
        <v>6.3000000000000007</v>
      </c>
      <c r="AK23" s="52">
        <f>'Adj. EBIT bridge - FY'!J23</f>
        <v>-11.5</v>
      </c>
      <c r="AL23" s="228">
        <v>6.02</v>
      </c>
      <c r="AM23" s="81">
        <f>IFERROR(AN23-AL23,"n.a.")</f>
        <v>9.4500000000000011</v>
      </c>
      <c r="AN23" s="41">
        <v>15.47</v>
      </c>
      <c r="AO23" s="77">
        <f>IFERROR(AP23-AN23,"n.a.")</f>
        <v>12.230477145522388</v>
      </c>
      <c r="AP23" s="228">
        <v>27.700477145522388</v>
      </c>
      <c r="AQ23" s="77">
        <f>IFERROR(AR23-AP23,"n.a.")</f>
        <v>2.9995228544776111</v>
      </c>
      <c r="AR23" s="52">
        <f>'Adj. EBIT bridge - FY'!K23</f>
        <v>30.7</v>
      </c>
      <c r="AS23" s="228">
        <v>-15.4</v>
      </c>
      <c r="AT23" s="81">
        <f>IFERROR(AU23-AS23,"n.a.")</f>
        <v>-35.71</v>
      </c>
      <c r="AU23" s="41">
        <v>-51.11</v>
      </c>
      <c r="AV23" s="81">
        <f>IFERROR(AW23-AU23,"n.a.")</f>
        <v>-63.373453594833606</v>
      </c>
      <c r="AW23" s="41">
        <v>-114.48345359483361</v>
      </c>
    </row>
    <row r="24" spans="1:49" x14ac:dyDescent="0.2">
      <c r="C24" s="40"/>
      <c r="D24" s="212"/>
      <c r="E24" s="40"/>
      <c r="F24" s="212"/>
      <c r="G24" s="40"/>
      <c r="H24" s="212"/>
      <c r="I24" s="40"/>
      <c r="J24" s="40"/>
      <c r="K24" s="212"/>
      <c r="L24" s="40"/>
      <c r="M24" s="40"/>
      <c r="N24" s="40"/>
      <c r="O24" s="40"/>
      <c r="P24" s="40"/>
      <c r="Q24" s="40"/>
      <c r="R24" s="212"/>
      <c r="S24" s="40"/>
      <c r="T24" s="40"/>
      <c r="U24" s="40"/>
      <c r="V24" s="40"/>
      <c r="W24" s="40"/>
      <c r="X24" s="40"/>
      <c r="Y24" s="212"/>
      <c r="Z24" s="40"/>
      <c r="AA24" s="40"/>
      <c r="AB24" s="40"/>
      <c r="AC24" s="40"/>
      <c r="AD24" s="40"/>
      <c r="AE24" s="40"/>
      <c r="AF24" s="212"/>
      <c r="AG24" s="40"/>
      <c r="AH24" s="40"/>
      <c r="AI24" s="40"/>
      <c r="AJ24" s="40"/>
      <c r="AK24" s="40"/>
      <c r="AL24" s="40"/>
      <c r="AM24" s="212"/>
      <c r="AN24" s="40"/>
      <c r="AO24" s="40"/>
      <c r="AP24" s="40"/>
      <c r="AQ24" s="40"/>
      <c r="AR24" s="40"/>
      <c r="AS24" s="40"/>
      <c r="AT24" s="212"/>
      <c r="AU24" s="40"/>
      <c r="AV24" s="212"/>
      <c r="AW24" s="40"/>
    </row>
    <row r="25" spans="1:49" x14ac:dyDescent="0.2">
      <c r="A25" s="34" t="s">
        <v>376</v>
      </c>
      <c r="B25" s="34"/>
      <c r="C25" s="118">
        <f t="shared" ref="C25:J25" si="0">IFERROR(C7+C9+C11+C13+C15+C17+C19+C21+C23,"n.a.")</f>
        <v>205</v>
      </c>
      <c r="D25" s="118">
        <f t="shared" si="0"/>
        <v>211.19999999999996</v>
      </c>
      <c r="E25" s="118">
        <f t="shared" si="0"/>
        <v>416.2</v>
      </c>
      <c r="F25" s="118">
        <f t="shared" si="0"/>
        <v>225.99999999999991</v>
      </c>
      <c r="G25" s="118">
        <f t="shared" si="0"/>
        <v>642.19999999999993</v>
      </c>
      <c r="H25" s="118">
        <f t="shared" si="0"/>
        <v>234.22300000000007</v>
      </c>
      <c r="I25" s="118">
        <f t="shared" si="0"/>
        <v>876.42299999999989</v>
      </c>
      <c r="J25" s="118">
        <f t="shared" si="0"/>
        <v>218.39999999999998</v>
      </c>
      <c r="K25" s="118">
        <f>IFERROR(K7+K9+K11+K13+K15+K17+K19+K21+K23,"n.a.")</f>
        <v>231.7</v>
      </c>
      <c r="L25" s="118">
        <f t="shared" ref="L25:S25" si="1">IFERROR(L7+L9+L11+L13+L15+L17+L19+L21+L23,"n.a.")</f>
        <v>450.09999999999991</v>
      </c>
      <c r="M25" s="118">
        <f t="shared" si="1"/>
        <v>250.00000000000011</v>
      </c>
      <c r="N25" s="118">
        <f t="shared" si="1"/>
        <v>700.1</v>
      </c>
      <c r="O25" s="118">
        <f t="shared" si="1"/>
        <v>254.92122174408669</v>
      </c>
      <c r="P25" s="118">
        <f t="shared" si="1"/>
        <v>955.02122174408657</v>
      </c>
      <c r="Q25" s="118">
        <f t="shared" si="1"/>
        <v>219.19999999999993</v>
      </c>
      <c r="R25" s="118">
        <f t="shared" si="1"/>
        <v>221.30000000000004</v>
      </c>
      <c r="S25" s="118">
        <f t="shared" si="1"/>
        <v>440.50000000000006</v>
      </c>
      <c r="T25" s="118">
        <f t="shared" ref="T25:AB25" si="2">IFERROR(T7+T9+T11+T13+T15+T17+T19+T21+T23,"n.a.")</f>
        <v>244.49999999999997</v>
      </c>
      <c r="U25" s="118">
        <f t="shared" si="2"/>
        <v>685.00000000000011</v>
      </c>
      <c r="V25" s="118">
        <f t="shared" si="2"/>
        <v>232.30000000000004</v>
      </c>
      <c r="W25" s="118">
        <f t="shared" si="2"/>
        <v>917.30000000000007</v>
      </c>
      <c r="X25" s="118">
        <f t="shared" si="2"/>
        <v>141.06300000000002</v>
      </c>
      <c r="Y25" s="118">
        <f t="shared" si="2"/>
        <v>-74.363000000000056</v>
      </c>
      <c r="Z25" s="118">
        <f t="shared" si="2"/>
        <v>66.699999999999974</v>
      </c>
      <c r="AA25" s="118">
        <f t="shared" si="2"/>
        <v>213.7</v>
      </c>
      <c r="AB25" s="118">
        <f t="shared" si="2"/>
        <v>280.39999999999998</v>
      </c>
      <c r="AC25" s="118">
        <f>IFERROR(AC7+AC9+AC11+AC13+AC15+AC17+AC19+AC21+AC23-0.1,"n.a.")</f>
        <v>220.75000000000009</v>
      </c>
      <c r="AD25" s="118">
        <f>IFERROR(AD7+AD9+AD11+AD13+AD15+AD17+AD19+AD21+AD23,"n.a.")</f>
        <v>501.25</v>
      </c>
      <c r="AE25" s="118">
        <f>IFERROR(AE7+AE9+AE11+AE13+AE15+AE17+AE19+AE21+AE23,"n.a.")</f>
        <v>168.76999999999998</v>
      </c>
      <c r="AF25" s="118">
        <f>IFERROR(AF7+AF9+AF11+AF13+AF15+AF17+AF19+AF21+AF23,"n.a.")</f>
        <v>208.56200000000004</v>
      </c>
      <c r="AG25" s="118">
        <f>IFERROR(AG7+AG9+AG11+AG13+AG15+AG17+AG19+AG21+AG23,"n.a.")</f>
        <v>377.33200000000011</v>
      </c>
      <c r="AH25" s="118">
        <f>IFERROR(AH7+AH9+AH11+AH13+AH15+AH17+AH19+AH21+AH23-0.1,"n.a.")</f>
        <v>221.37999999999997</v>
      </c>
      <c r="AI25" s="118">
        <f>IFERROR(AI7+AI9+AI11+AI13+AI15+AI17+AI19+AI21+AI23,"n.a.")</f>
        <v>598.81200000000001</v>
      </c>
      <c r="AJ25" s="118">
        <f>IFERROR(AJ7+AJ9+AJ11+AJ13+AJ15+AJ17+AJ19+AJ21+AJ23,"n.a.")</f>
        <v>216.96800000000005</v>
      </c>
      <c r="AK25" s="118">
        <f>IFERROR(AK7+AK9+AK11+AK13+AK15+AK17+AK19+AK21+AK23,"n.a.")</f>
        <v>815.77999999999986</v>
      </c>
      <c r="AL25" s="118">
        <f>IFERROR(AL7+AL9+AL11+AL13+AL15+AL17+AL19+AL21+AL23,"n.a.")</f>
        <v>228.47099999999998</v>
      </c>
      <c r="AM25" s="118">
        <f>IFERROR(AM7+AM9+AM11+AM13+AM15+AM17+AM19+AM21+AM23-0.01,"n.a.")</f>
        <v>253.08399999999995</v>
      </c>
      <c r="AN25" s="118">
        <f>IFERROR(AN7+AN9+AN11+AN13+AN15+AN17+AN19+AN21+AN23+0.03,"n.a.")</f>
        <v>481.56200000000013</v>
      </c>
      <c r="AO25" s="118">
        <f>IFERROR(AO7+AO9+AO11+AO13+AO15+AO17+AO19+AO21+AO23,"n.a.")</f>
        <v>271.89410111346763</v>
      </c>
      <c r="AP25" s="118">
        <f>IFERROR(AP7+AP9+AP11+AP13+AP15+AP17+AP19+AP21+AP23,"n.a.")</f>
        <v>753.45910111346757</v>
      </c>
      <c r="AQ25" s="118">
        <f>IFERROR(AQ7+AQ9+AQ11+AQ13+AQ15+AQ17+AQ19+AQ21+AQ23,"n.a.")</f>
        <v>224.32160531250625</v>
      </c>
      <c r="AR25" s="118">
        <f>IFERROR(AR7+AR9+AR11+AR13+AR15+AR17+AR19+AR21+AR23,"n.a.")</f>
        <v>977.7807064259739</v>
      </c>
      <c r="AS25" s="118">
        <f>IFERROR(AS7+AS9+AS11+AS13+AS15+AS17+AS19+AS21+AS23,"n.a.")</f>
        <v>248.08300000000006</v>
      </c>
      <c r="AT25" s="118">
        <f>IFERROR(AT7+AT9+AT11+AT13+AT15+AT17+AT19+AT21+AT23-0.01,"n.a.")</f>
        <v>269.29599999999999</v>
      </c>
      <c r="AU25" s="118">
        <f>IFERROR(AU7+AU9+AU11+AU13+AU15+AU17+AU19+AU21+AU23+0.03,"n.a.")</f>
        <v>517.42200000000003</v>
      </c>
      <c r="AV25" s="118">
        <f>IFERROR(AV7+AV9+AV11+AV13+AV15+AV17+AV19+AV21+AV23+0.03,"n.a.")</f>
        <v>265.13533836494065</v>
      </c>
      <c r="AW25" s="118">
        <f>IFERROR(AW7+AW9+AW11+AW13+AW15+AW17+AW19+AW21+AW23+0.03,"n.a.")</f>
        <v>782.53033836494058</v>
      </c>
    </row>
  </sheetData>
  <pageMargins left="0" right="0" top="0" bottom="0" header="0" footer="0"/>
  <pageSetup paperSize="9" orientation="landscape" r:id="rId1"/>
  <ignoredErrors>
    <ignoredError sqref="E24:J24 E15:E23 I16:J23 G15:G23 S15 U15 L15 N15 AC25 AH25"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122"/>
  <sheetViews>
    <sheetView showGridLines="0" zoomScale="96" zoomScaleNormal="115" zoomScaleSheetLayoutView="100" workbookViewId="0">
      <pane xSplit="2" ySplit="6" topLeftCell="C7" activePane="bottomRight" state="frozen"/>
      <selection activeCell="L10" sqref="L10"/>
      <selection pane="topRight" activeCell="L10" sqref="L10"/>
      <selection pane="bottomLeft" activeCell="L10" sqref="L10"/>
      <selection pane="bottomRight"/>
    </sheetView>
  </sheetViews>
  <sheetFormatPr defaultColWidth="9" defaultRowHeight="12.75" outlineLevelRow="2" outlineLevelCol="1" x14ac:dyDescent="0.2"/>
  <cols>
    <col min="1" max="1" width="60.625" style="2" customWidth="1"/>
    <col min="2" max="2" width="0.625" style="2" customWidth="1"/>
    <col min="3" max="3" width="12.625" style="37" hidden="1" customWidth="1" outlineLevel="1"/>
    <col min="4" max="4" width="12.625" style="37" hidden="1" customWidth="1" outlineLevel="1" collapsed="1"/>
    <col min="5" max="5" width="12.625" style="37" hidden="1" customWidth="1" outlineLevel="1"/>
    <col min="6" max="6" width="12.625" style="37" hidden="1" customWidth="1" outlineLevel="1" collapsed="1"/>
    <col min="7" max="7" width="12.625" style="37" customWidth="1" collapsed="1"/>
    <col min="8" max="12" width="12.625" style="37" customWidth="1"/>
    <col min="13" max="16384" width="9" style="2"/>
  </cols>
  <sheetData>
    <row r="1" spans="1:12" s="8" customFormat="1" ht="27.75" customHeight="1" x14ac:dyDescent="0.2">
      <c r="A1" s="8" t="s">
        <v>143</v>
      </c>
      <c r="C1" s="9"/>
      <c r="D1" s="9"/>
      <c r="E1" s="9"/>
      <c r="F1" s="9"/>
      <c r="G1" s="9"/>
      <c r="H1" s="9"/>
      <c r="I1" s="9"/>
      <c r="J1" s="9"/>
      <c r="K1" s="9"/>
      <c r="L1" s="9"/>
    </row>
    <row r="2" spans="1:12" x14ac:dyDescent="0.2">
      <c r="A2" s="30" t="s">
        <v>190</v>
      </c>
      <c r="B2" s="30"/>
    </row>
    <row r="4" spans="1:12" ht="13.5" thickBot="1" x14ac:dyDescent="0.25">
      <c r="A4" s="11" t="s">
        <v>120</v>
      </c>
      <c r="B4" s="11"/>
      <c r="C4" s="13" t="s">
        <v>24</v>
      </c>
      <c r="D4" s="13" t="s">
        <v>25</v>
      </c>
      <c r="E4" s="13" t="s">
        <v>26</v>
      </c>
      <c r="F4" s="13" t="s">
        <v>26</v>
      </c>
      <c r="G4" s="13" t="s">
        <v>161</v>
      </c>
      <c r="H4" s="13" t="s">
        <v>261</v>
      </c>
      <c r="I4" s="13" t="s">
        <v>303</v>
      </c>
      <c r="J4" s="13" t="s">
        <v>327</v>
      </c>
      <c r="K4" s="13" t="s">
        <v>371</v>
      </c>
      <c r="L4" s="13" t="s">
        <v>383</v>
      </c>
    </row>
    <row r="5" spans="1:12" x14ac:dyDescent="0.2">
      <c r="C5" s="37" t="s">
        <v>176</v>
      </c>
      <c r="D5" s="37" t="s">
        <v>176</v>
      </c>
      <c r="E5" s="37" t="s">
        <v>176</v>
      </c>
      <c r="F5" s="37" t="s">
        <v>189</v>
      </c>
      <c r="G5" s="37" t="s">
        <v>175</v>
      </c>
      <c r="H5" s="37" t="s">
        <v>175</v>
      </c>
      <c r="I5" s="37" t="s">
        <v>175</v>
      </c>
      <c r="J5" s="37" t="s">
        <v>175</v>
      </c>
      <c r="K5" s="37" t="s">
        <v>175</v>
      </c>
      <c r="L5" s="37" t="s">
        <v>175</v>
      </c>
    </row>
    <row r="7" spans="1:12" x14ac:dyDescent="0.2">
      <c r="A7" s="161" t="s">
        <v>199</v>
      </c>
      <c r="B7" s="33"/>
      <c r="C7" s="77">
        <f t="shared" ref="C7:L7" si="0">IFERROR(C76/C104,"n.a.")</f>
        <v>1.3119117389028412</v>
      </c>
      <c r="D7" s="77">
        <f t="shared" si="0"/>
        <v>1.0179470924585985</v>
      </c>
      <c r="E7" s="77">
        <f t="shared" si="0"/>
        <v>1.3714328195509495</v>
      </c>
      <c r="F7" s="77">
        <f t="shared" si="0"/>
        <v>1.201397856341732</v>
      </c>
      <c r="G7" s="77">
        <f t="shared" si="0"/>
        <v>1.102454312795166</v>
      </c>
      <c r="H7" s="77">
        <f t="shared" si="0"/>
        <v>1.2199282774955671</v>
      </c>
      <c r="I7" s="77">
        <f t="shared" si="0"/>
        <v>1.0879781871025251</v>
      </c>
      <c r="J7" s="77">
        <f t="shared" si="0"/>
        <v>1.5775513412474029</v>
      </c>
      <c r="K7" s="77">
        <f t="shared" si="0"/>
        <v>1.1823526506289064</v>
      </c>
      <c r="L7" s="77">
        <f t="shared" si="0"/>
        <v>1.3231694140441788</v>
      </c>
    </row>
    <row r="8" spans="1:12" x14ac:dyDescent="0.2">
      <c r="A8" s="162" t="s">
        <v>200</v>
      </c>
      <c r="B8" s="17"/>
      <c r="C8" s="80">
        <f t="shared" ref="C8:L8" si="1">IFERROR((C76-C64)/C104,"n.a.")</f>
        <v>0.89855553573589719</v>
      </c>
      <c r="D8" s="80">
        <f t="shared" si="1"/>
        <v>0.68669840015739225</v>
      </c>
      <c r="E8" s="80">
        <f t="shared" si="1"/>
        <v>1.0239878635459929</v>
      </c>
      <c r="F8" s="80">
        <f t="shared" si="1"/>
        <v>0.856817324226681</v>
      </c>
      <c r="G8" s="80">
        <f t="shared" si="1"/>
        <v>0.77922558538449249</v>
      </c>
      <c r="H8" s="80">
        <f t="shared" si="1"/>
        <v>0.84452749972555152</v>
      </c>
      <c r="I8" s="80">
        <f t="shared" si="1"/>
        <v>0.78453466012923401</v>
      </c>
      <c r="J8" s="80">
        <f t="shared" si="1"/>
        <v>1.2695951645213654</v>
      </c>
      <c r="K8" s="80">
        <f t="shared" si="1"/>
        <v>0.88098253057611364</v>
      </c>
      <c r="L8" s="80">
        <f t="shared" si="1"/>
        <v>0.88702021786000196</v>
      </c>
    </row>
    <row r="9" spans="1:12" x14ac:dyDescent="0.2">
      <c r="A9" s="209" t="s">
        <v>290</v>
      </c>
      <c r="B9" s="83"/>
      <c r="C9" s="79">
        <f t="shared" ref="C9:H9" si="2">C36</f>
        <v>1038.0159999999996</v>
      </c>
      <c r="D9" s="79">
        <f t="shared" si="2"/>
        <v>1240.5170000000005</v>
      </c>
      <c r="E9" s="79">
        <f t="shared" si="2"/>
        <v>4960.6549999999997</v>
      </c>
      <c r="F9" s="79">
        <f t="shared" si="2"/>
        <v>4912.831000000001</v>
      </c>
      <c r="G9" s="79">
        <f t="shared" si="2"/>
        <v>3218.4949999999994</v>
      </c>
      <c r="H9" s="79">
        <f t="shared" si="2"/>
        <v>3180.1300000000006</v>
      </c>
      <c r="I9" s="79">
        <f>I40</f>
        <v>3507.2249999999999</v>
      </c>
      <c r="J9" s="79">
        <f>J40</f>
        <v>3258.375</v>
      </c>
      <c r="K9" s="79">
        <f>K40</f>
        <v>2907.1159999999995</v>
      </c>
      <c r="L9" s="79">
        <f>L40</f>
        <v>2552.6343339999999</v>
      </c>
    </row>
    <row r="12" spans="1:12" ht="13.5" thickBot="1" x14ac:dyDescent="0.25">
      <c r="A12" s="11" t="s">
        <v>61</v>
      </c>
      <c r="B12" s="11"/>
      <c r="C12" s="13" t="str">
        <f t="shared" ref="C12:I13" si="3">C4</f>
        <v>FY 2014</v>
      </c>
      <c r="D12" s="13" t="str">
        <f t="shared" si="3"/>
        <v>FY 2015</v>
      </c>
      <c r="E12" s="13" t="str">
        <f t="shared" si="3"/>
        <v>FY 2016</v>
      </c>
      <c r="F12" s="13" t="str">
        <f t="shared" si="3"/>
        <v>FY 2016</v>
      </c>
      <c r="G12" s="13" t="str">
        <f t="shared" si="3"/>
        <v>FY 2017</v>
      </c>
      <c r="H12" s="13" t="str">
        <f t="shared" si="3"/>
        <v>FY 2018</v>
      </c>
      <c r="I12" s="13" t="str">
        <f t="shared" si="3"/>
        <v>FY 2019</v>
      </c>
      <c r="J12" s="13" t="str">
        <f t="shared" ref="J12:L13" si="4">J4</f>
        <v>FY 2020</v>
      </c>
      <c r="K12" s="13" t="str">
        <f t="shared" si="4"/>
        <v>FY 2021</v>
      </c>
      <c r="L12" s="13" t="str">
        <f t="shared" si="4"/>
        <v>FY 2022</v>
      </c>
    </row>
    <row r="13" spans="1:12" x14ac:dyDescent="0.2">
      <c r="C13" s="37" t="str">
        <f t="shared" si="3"/>
        <v>carve-out</v>
      </c>
      <c r="D13" s="37" t="str">
        <f t="shared" si="3"/>
        <v>carve-out</v>
      </c>
      <c r="E13" s="37" t="str">
        <f t="shared" si="3"/>
        <v>carve-out</v>
      </c>
      <c r="F13" s="37" t="str">
        <f t="shared" si="3"/>
        <v>restated</v>
      </c>
      <c r="G13" s="37" t="str">
        <f t="shared" si="3"/>
        <v>reported</v>
      </c>
      <c r="H13" s="37" t="str">
        <f t="shared" si="3"/>
        <v>reported</v>
      </c>
      <c r="I13" s="37" t="str">
        <f t="shared" si="3"/>
        <v>reported</v>
      </c>
      <c r="J13" s="37" t="str">
        <f t="shared" si="4"/>
        <v>reported</v>
      </c>
      <c r="K13" s="37" t="str">
        <f t="shared" si="4"/>
        <v>reported</v>
      </c>
      <c r="L13" s="37" t="str">
        <f t="shared" si="4"/>
        <v>reported</v>
      </c>
    </row>
    <row r="15" spans="1:12" x14ac:dyDescent="0.2">
      <c r="A15" s="29" t="s">
        <v>283</v>
      </c>
      <c r="B15" s="29"/>
      <c r="C15" s="51">
        <f t="shared" ref="C15:H15" si="5">IFERROR(C21-C17,C21)</f>
        <v>3156.1669999999999</v>
      </c>
      <c r="D15" s="51">
        <f t="shared" si="5"/>
        <v>3124.4780000000001</v>
      </c>
      <c r="E15" s="51">
        <f t="shared" si="5"/>
        <v>9167.6209999999992</v>
      </c>
      <c r="F15" s="51">
        <f t="shared" si="5"/>
        <v>10299.225</v>
      </c>
      <c r="G15" s="51">
        <f t="shared" si="5"/>
        <v>9120.9969999999994</v>
      </c>
      <c r="H15" s="51">
        <f t="shared" si="5"/>
        <v>9017.7510000000002</v>
      </c>
      <c r="I15" s="51">
        <f>IFERROR(I21-I17,I21)</f>
        <v>9007.1790000000001</v>
      </c>
      <c r="J15" s="51">
        <f>IFERROR(J21-J17,J21)</f>
        <v>8423.0959999999995</v>
      </c>
      <c r="K15" s="51">
        <f>IFERROR(K21-K17,K21)</f>
        <v>8447.223</v>
      </c>
      <c r="L15" s="51">
        <f>IFERROR(L21-L17,L21)</f>
        <v>8464.2633029999997</v>
      </c>
    </row>
    <row r="16" spans="1:12" hidden="1" outlineLevel="2" x14ac:dyDescent="0.2">
      <c r="A16" s="208" t="s">
        <v>287</v>
      </c>
      <c r="B16" s="62"/>
      <c r="C16" s="79">
        <f t="shared" ref="C16:H16" si="6">IFERROR(C18-C17,C18)</f>
        <v>2114.5340000000001</v>
      </c>
      <c r="D16" s="79">
        <f t="shared" si="6"/>
        <v>2074.7020000000002</v>
      </c>
      <c r="E16" s="79">
        <f t="shared" si="6"/>
        <v>2925.4929999999999</v>
      </c>
      <c r="F16" s="79">
        <f t="shared" si="6"/>
        <v>3556.6350000000002</v>
      </c>
      <c r="G16" s="79">
        <f t="shared" si="6"/>
        <v>2980.2939999999999</v>
      </c>
      <c r="H16" s="79">
        <f t="shared" si="6"/>
        <v>3092.9270000000001</v>
      </c>
      <c r="I16" s="79">
        <f>IFERROR(I18-I17,I18)</f>
        <v>3187.1910000000003</v>
      </c>
      <c r="J16" s="79">
        <f>IFERROR(J18-J17,J18)</f>
        <v>2725.7549999999997</v>
      </c>
      <c r="K16" s="79">
        <f>IFERROR(K18-K17,K18)</f>
        <v>2823.7650000000003</v>
      </c>
      <c r="L16" s="79">
        <f>IFERROR(L18-L17,L18)</f>
        <v>2952.78</v>
      </c>
    </row>
    <row r="17" spans="1:12" hidden="1" outlineLevel="2" x14ac:dyDescent="0.2">
      <c r="A17" s="208" t="s">
        <v>282</v>
      </c>
      <c r="B17" s="62"/>
      <c r="C17" s="67" t="s">
        <v>228</v>
      </c>
      <c r="D17" s="67" t="s">
        <v>228</v>
      </c>
      <c r="E17" s="67" t="s">
        <v>228</v>
      </c>
      <c r="F17" s="67" t="s">
        <v>228</v>
      </c>
      <c r="G17" s="67" t="s">
        <v>228</v>
      </c>
      <c r="H17" s="67" t="s">
        <v>228</v>
      </c>
      <c r="I17" s="67">
        <v>462.61799999999999</v>
      </c>
      <c r="J17" s="67">
        <v>434.012</v>
      </c>
      <c r="K17" s="67">
        <v>465.149</v>
      </c>
      <c r="L17" s="67">
        <v>446.84800000000001</v>
      </c>
    </row>
    <row r="18" spans="1:12" hidden="1" outlineLevel="1" x14ac:dyDescent="0.2">
      <c r="A18" s="181" t="s">
        <v>288</v>
      </c>
      <c r="B18" s="62"/>
      <c r="C18" s="81">
        <f t="shared" ref="C18:H19" si="7">C47</f>
        <v>2114.5340000000001</v>
      </c>
      <c r="D18" s="81">
        <f t="shared" si="7"/>
        <v>2074.7020000000002</v>
      </c>
      <c r="E18" s="81">
        <f t="shared" si="7"/>
        <v>2925.4929999999999</v>
      </c>
      <c r="F18" s="81">
        <f t="shared" si="7"/>
        <v>3556.6350000000002</v>
      </c>
      <c r="G18" s="81">
        <f t="shared" si="7"/>
        <v>2980.2939999999999</v>
      </c>
      <c r="H18" s="81">
        <f t="shared" si="7"/>
        <v>3092.9270000000001</v>
      </c>
      <c r="I18" s="81">
        <f t="shared" ref="I18:L19" si="8">I47</f>
        <v>3649.8090000000002</v>
      </c>
      <c r="J18" s="81">
        <f t="shared" si="8"/>
        <v>3159.7669999999998</v>
      </c>
      <c r="K18" s="81">
        <f t="shared" si="8"/>
        <v>3288.9140000000002</v>
      </c>
      <c r="L18" s="81">
        <f t="shared" si="8"/>
        <v>3399.6280000000002</v>
      </c>
    </row>
    <row r="19" spans="1:12" hidden="1" outlineLevel="1" x14ac:dyDescent="0.2">
      <c r="A19" s="182" t="s">
        <v>1</v>
      </c>
      <c r="B19" s="61"/>
      <c r="C19" s="79">
        <f t="shared" si="7"/>
        <v>674.11800000000005</v>
      </c>
      <c r="D19" s="79">
        <f t="shared" si="7"/>
        <v>657.31500000000005</v>
      </c>
      <c r="E19" s="79">
        <f t="shared" si="7"/>
        <v>5996.4440000000004</v>
      </c>
      <c r="F19" s="79">
        <f t="shared" si="7"/>
        <v>6496.8890000000001</v>
      </c>
      <c r="G19" s="79">
        <f t="shared" si="7"/>
        <v>5893.7039999999997</v>
      </c>
      <c r="H19" s="79">
        <f t="shared" si="7"/>
        <v>5783.3379999999997</v>
      </c>
      <c r="I19" s="79">
        <f t="shared" si="8"/>
        <v>5680.1750000000002</v>
      </c>
      <c r="J19" s="79">
        <f t="shared" si="8"/>
        <v>5582.0330000000004</v>
      </c>
      <c r="K19" s="79">
        <f t="shared" si="8"/>
        <v>5485.665</v>
      </c>
      <c r="L19" s="79">
        <f t="shared" si="8"/>
        <v>5382.8370000000004</v>
      </c>
    </row>
    <row r="20" spans="1:12" hidden="1" outlineLevel="1" x14ac:dyDescent="0.2">
      <c r="A20" s="182" t="s">
        <v>49</v>
      </c>
      <c r="B20" s="61"/>
      <c r="C20" s="79">
        <f t="shared" ref="C20:H20" si="9">IFERROR(C50+C51+C52+C53,"n.a.")</f>
        <v>367.51499999999999</v>
      </c>
      <c r="D20" s="79">
        <f t="shared" si="9"/>
        <v>392.46100000000001</v>
      </c>
      <c r="E20" s="79">
        <f t="shared" si="9"/>
        <v>245.684</v>
      </c>
      <c r="F20" s="79">
        <f t="shared" si="9"/>
        <v>245.70099999999999</v>
      </c>
      <c r="G20" s="79">
        <f t="shared" si="9"/>
        <v>246.999</v>
      </c>
      <c r="H20" s="79">
        <f t="shared" si="9"/>
        <v>141.48599999999999</v>
      </c>
      <c r="I20" s="79">
        <f>IFERROR(I50+I51+I52+I53,"n.a.")</f>
        <v>139.81299999999999</v>
      </c>
      <c r="J20" s="79">
        <f>IFERROR(J50+J51+J52+J53,"n.a.")</f>
        <v>115.30799999999999</v>
      </c>
      <c r="K20" s="79">
        <f>IFERROR(K50+K51+K52+K53,"n.a.")</f>
        <v>137.79300000000001</v>
      </c>
      <c r="L20" s="79">
        <f>IFERROR(L50+L51+L52+L53,"n.a.")</f>
        <v>128.64630299999999</v>
      </c>
    </row>
    <row r="21" spans="1:12" collapsed="1" x14ac:dyDescent="0.2">
      <c r="A21" s="29" t="s">
        <v>284</v>
      </c>
      <c r="B21" s="29"/>
      <c r="C21" s="51">
        <f t="shared" ref="C21:L21" si="10">IFERROR(C18+C19+C20,"n.a.")</f>
        <v>3156.1669999999999</v>
      </c>
      <c r="D21" s="51">
        <f t="shared" si="10"/>
        <v>3124.4780000000001</v>
      </c>
      <c r="E21" s="51">
        <f t="shared" si="10"/>
        <v>9167.6209999999992</v>
      </c>
      <c r="F21" s="51">
        <f t="shared" si="10"/>
        <v>10299.225</v>
      </c>
      <c r="G21" s="51">
        <f t="shared" si="10"/>
        <v>9120.9969999999994</v>
      </c>
      <c r="H21" s="51">
        <f t="shared" si="10"/>
        <v>9017.7510000000002</v>
      </c>
      <c r="I21" s="51">
        <f t="shared" si="10"/>
        <v>9469.7970000000005</v>
      </c>
      <c r="J21" s="51">
        <f t="shared" si="10"/>
        <v>8857.1080000000002</v>
      </c>
      <c r="K21" s="51">
        <f t="shared" si="10"/>
        <v>8912.3719999999994</v>
      </c>
      <c r="L21" s="51">
        <f t="shared" si="10"/>
        <v>8911.1113029999997</v>
      </c>
    </row>
    <row r="22" spans="1:12" hidden="1" outlineLevel="2" x14ac:dyDescent="0.2">
      <c r="A22" s="89" t="s">
        <v>51</v>
      </c>
      <c r="B22" s="89"/>
      <c r="C22" s="80">
        <f>C64</f>
        <v>850.45600000000002</v>
      </c>
      <c r="D22" s="80">
        <f t="shared" ref="D22:G23" si="11">D64</f>
        <v>848.577</v>
      </c>
      <c r="E22" s="80">
        <f t="shared" si="11"/>
        <v>873.96199999999999</v>
      </c>
      <c r="F22" s="80">
        <f t="shared" si="11"/>
        <v>1055.6389999999999</v>
      </c>
      <c r="G22" s="80">
        <f t="shared" si="11"/>
        <v>940.66800000000001</v>
      </c>
      <c r="H22" s="80">
        <f t="shared" ref="H22:L23" si="12">H64</f>
        <v>1128.4659999999999</v>
      </c>
      <c r="I22" s="80">
        <f t="shared" si="12"/>
        <v>1093.7539999999999</v>
      </c>
      <c r="J22" s="80">
        <f t="shared" si="12"/>
        <v>836.43700000000001</v>
      </c>
      <c r="K22" s="80">
        <f t="shared" si="12"/>
        <v>1092.162</v>
      </c>
      <c r="L22" s="80">
        <f t="shared" si="12"/>
        <v>1457.7108149999999</v>
      </c>
    </row>
    <row r="23" spans="1:12" hidden="1" outlineLevel="2" x14ac:dyDescent="0.2">
      <c r="A23" s="89" t="s">
        <v>52</v>
      </c>
      <c r="B23" s="89"/>
      <c r="C23" s="80">
        <f>C65</f>
        <v>566.30399999999997</v>
      </c>
      <c r="D23" s="80">
        <f>D65</f>
        <v>583.529</v>
      </c>
      <c r="E23" s="80">
        <f t="shared" si="11"/>
        <v>680.06899999999996</v>
      </c>
      <c r="F23" s="80">
        <f t="shared" si="11"/>
        <v>679.32100000000003</v>
      </c>
      <c r="G23" s="80">
        <f t="shared" si="11"/>
        <v>652.48699999999997</v>
      </c>
      <c r="H23" s="80">
        <f t="shared" si="12"/>
        <v>627.96799999999996</v>
      </c>
      <c r="I23" s="80">
        <f t="shared" si="12"/>
        <v>649.39400000000001</v>
      </c>
      <c r="J23" s="80">
        <f t="shared" si="12"/>
        <v>597.66899999999998</v>
      </c>
      <c r="K23" s="80">
        <f t="shared" si="12"/>
        <v>659.20899999999995</v>
      </c>
      <c r="L23" s="80">
        <f t="shared" si="12"/>
        <v>636.45100000000002</v>
      </c>
    </row>
    <row r="24" spans="1:12" hidden="1" outlineLevel="2" x14ac:dyDescent="0.2">
      <c r="A24" s="89" t="s">
        <v>53</v>
      </c>
      <c r="B24" s="89"/>
      <c r="C24" s="80">
        <f t="shared" ref="C24:L24" si="13">IFERROR(-C95,"n.a.")</f>
        <v>-1242.607</v>
      </c>
      <c r="D24" s="80">
        <f t="shared" si="13"/>
        <v>-1172.577</v>
      </c>
      <c r="E24" s="80">
        <f t="shared" si="13"/>
        <v>-1280.4829999999999</v>
      </c>
      <c r="F24" s="80">
        <f t="shared" si="13"/>
        <v>-1498.492</v>
      </c>
      <c r="G24" s="80">
        <f t="shared" si="13"/>
        <v>-1673.6420000000001</v>
      </c>
      <c r="H24" s="80">
        <f t="shared" si="13"/>
        <v>-1604.6769999999999</v>
      </c>
      <c r="I24" s="80">
        <f t="shared" si="13"/>
        <v>-1721.088</v>
      </c>
      <c r="J24" s="80">
        <f t="shared" si="13"/>
        <v>-1316.971</v>
      </c>
      <c r="K24" s="80">
        <f t="shared" si="13"/>
        <v>-1626.367</v>
      </c>
      <c r="L24" s="80">
        <f t="shared" si="13"/>
        <v>-1973.296439</v>
      </c>
    </row>
    <row r="25" spans="1:12" hidden="1" outlineLevel="1" x14ac:dyDescent="0.2">
      <c r="A25" s="182" t="s">
        <v>50</v>
      </c>
      <c r="B25" s="61"/>
      <c r="C25" s="51">
        <f t="shared" ref="C25:L25" si="14">IFERROR(C22+C23+C24,"n.a.")</f>
        <v>174.15300000000002</v>
      </c>
      <c r="D25" s="51">
        <f t="shared" si="14"/>
        <v>259.529</v>
      </c>
      <c r="E25" s="51">
        <f t="shared" si="14"/>
        <v>273.548</v>
      </c>
      <c r="F25" s="51">
        <f t="shared" si="14"/>
        <v>236.46800000000007</v>
      </c>
      <c r="G25" s="51">
        <f t="shared" si="14"/>
        <v>-80.48700000000008</v>
      </c>
      <c r="H25" s="51">
        <f t="shared" si="14"/>
        <v>151.75699999999983</v>
      </c>
      <c r="I25" s="51">
        <f t="shared" si="14"/>
        <v>22.059999999999945</v>
      </c>
      <c r="J25" s="51">
        <f t="shared" si="14"/>
        <v>117.13499999999999</v>
      </c>
      <c r="K25" s="51">
        <f t="shared" si="14"/>
        <v>125.00400000000013</v>
      </c>
      <c r="L25" s="51">
        <f t="shared" si="14"/>
        <v>120.86537599999997</v>
      </c>
    </row>
    <row r="26" spans="1:12" hidden="1" outlineLevel="1" x14ac:dyDescent="0.2">
      <c r="A26" s="182" t="s">
        <v>54</v>
      </c>
      <c r="B26" s="61"/>
      <c r="C26" s="79">
        <f t="shared" ref="C26:L26" si="15">IFERROR(C56+C58+C60+C67+C72+C74-C85-C89-C91-C96-C97-C100-C102,"n.a.")</f>
        <v>-103.91000000000004</v>
      </c>
      <c r="D26" s="79">
        <f t="shared" si="15"/>
        <v>-130.34299999999996</v>
      </c>
      <c r="E26" s="79">
        <f t="shared" si="15"/>
        <v>-97.022000000000048</v>
      </c>
      <c r="F26" s="79">
        <f t="shared" si="15"/>
        <v>-458.71999999999997</v>
      </c>
      <c r="G26" s="79">
        <f t="shared" si="15"/>
        <v>-153.68900000000005</v>
      </c>
      <c r="H26" s="51">
        <f t="shared" si="15"/>
        <v>-39.651000000000039</v>
      </c>
      <c r="I26" s="51">
        <f t="shared" si="15"/>
        <v>190.67499999999995</v>
      </c>
      <c r="J26" s="51">
        <f t="shared" si="15"/>
        <v>23.265000000000114</v>
      </c>
      <c r="K26" s="51">
        <f t="shared" si="15"/>
        <v>0.78500000000002501</v>
      </c>
      <c r="L26" s="51">
        <f t="shared" si="15"/>
        <v>42.312348999998946</v>
      </c>
    </row>
    <row r="27" spans="1:12" collapsed="1" x14ac:dyDescent="0.2">
      <c r="A27" s="29" t="s">
        <v>55</v>
      </c>
      <c r="B27" s="29"/>
      <c r="C27" s="51">
        <f t="shared" ref="C27:L27" si="16">IFERROR(C25+C26,"n.a.")</f>
        <v>70.242999999999981</v>
      </c>
      <c r="D27" s="51">
        <f t="shared" si="16"/>
        <v>129.18600000000004</v>
      </c>
      <c r="E27" s="51">
        <f t="shared" si="16"/>
        <v>176.52599999999995</v>
      </c>
      <c r="F27" s="51">
        <f t="shared" si="16"/>
        <v>-222.2519999999999</v>
      </c>
      <c r="G27" s="51">
        <f t="shared" si="16"/>
        <v>-234.17600000000013</v>
      </c>
      <c r="H27" s="51">
        <f t="shared" si="16"/>
        <v>112.1059999999998</v>
      </c>
      <c r="I27" s="51">
        <f t="shared" si="16"/>
        <v>212.7349999999999</v>
      </c>
      <c r="J27" s="51">
        <f t="shared" si="16"/>
        <v>140.40000000000009</v>
      </c>
      <c r="K27" s="51">
        <f t="shared" si="16"/>
        <v>125.78900000000016</v>
      </c>
      <c r="L27" s="51">
        <f t="shared" si="16"/>
        <v>163.17772499999893</v>
      </c>
    </row>
    <row r="28" spans="1:12" hidden="1" outlineLevel="2" x14ac:dyDescent="0.2">
      <c r="A28" s="29" t="s">
        <v>139</v>
      </c>
      <c r="B28" s="90"/>
      <c r="C28" s="84">
        <f t="shared" ref="C28:L28" si="17">IFERROR(C21+C27,"n.a.")</f>
        <v>3226.41</v>
      </c>
      <c r="D28" s="84">
        <f t="shared" si="17"/>
        <v>3253.6640000000002</v>
      </c>
      <c r="E28" s="84">
        <f t="shared" si="17"/>
        <v>9344.146999999999</v>
      </c>
      <c r="F28" s="84">
        <f t="shared" si="17"/>
        <v>10076.973</v>
      </c>
      <c r="G28" s="84">
        <f t="shared" si="17"/>
        <v>8886.8209999999999</v>
      </c>
      <c r="H28" s="84">
        <f t="shared" si="17"/>
        <v>9129.857</v>
      </c>
      <c r="I28" s="84">
        <f t="shared" si="17"/>
        <v>9682.5320000000011</v>
      </c>
      <c r="J28" s="84">
        <f t="shared" si="17"/>
        <v>8997.5079999999998</v>
      </c>
      <c r="K28" s="84">
        <f t="shared" si="17"/>
        <v>9038.1610000000001</v>
      </c>
      <c r="L28" s="84">
        <f t="shared" si="17"/>
        <v>9074.2890279999992</v>
      </c>
    </row>
    <row r="29" spans="1:12" hidden="1" outlineLevel="2" x14ac:dyDescent="0.2">
      <c r="A29" s="29" t="s">
        <v>134</v>
      </c>
      <c r="B29" s="61"/>
      <c r="C29" s="67">
        <v>30.757000000000001</v>
      </c>
      <c r="D29" s="79">
        <f t="shared" ref="D29:L29" si="18">IFERROR(D77-D105,"n.a.")</f>
        <v>0</v>
      </c>
      <c r="E29" s="79">
        <f t="shared" si="18"/>
        <v>0</v>
      </c>
      <c r="F29" s="79">
        <f t="shared" si="18"/>
        <v>0</v>
      </c>
      <c r="G29" s="79">
        <f t="shared" si="18"/>
        <v>60.728999999999999</v>
      </c>
      <c r="H29" s="79">
        <f t="shared" si="18"/>
        <v>10.677</v>
      </c>
      <c r="I29" s="79">
        <f t="shared" si="18"/>
        <v>0</v>
      </c>
      <c r="J29" s="79">
        <f t="shared" si="18"/>
        <v>0</v>
      </c>
      <c r="K29" s="79">
        <f t="shared" si="18"/>
        <v>0</v>
      </c>
      <c r="L29" s="79">
        <f t="shared" si="18"/>
        <v>0</v>
      </c>
    </row>
    <row r="30" spans="1:12" s="22" customFormat="1" collapsed="1" x14ac:dyDescent="0.2">
      <c r="A30" s="107" t="s">
        <v>56</v>
      </c>
      <c r="B30" s="107"/>
      <c r="C30" s="108">
        <f t="shared" ref="C30:L30" si="19">IFERROR(C28+C29,"n.a.")</f>
        <v>3257.1669999999999</v>
      </c>
      <c r="D30" s="108">
        <f t="shared" si="19"/>
        <v>3253.6640000000002</v>
      </c>
      <c r="E30" s="108">
        <f t="shared" si="19"/>
        <v>9344.146999999999</v>
      </c>
      <c r="F30" s="108">
        <f t="shared" si="19"/>
        <v>10076.973</v>
      </c>
      <c r="G30" s="108">
        <f t="shared" si="19"/>
        <v>8947.5499999999993</v>
      </c>
      <c r="H30" s="108">
        <f t="shared" si="19"/>
        <v>9140.5339999999997</v>
      </c>
      <c r="I30" s="108">
        <f t="shared" si="19"/>
        <v>9682.5320000000011</v>
      </c>
      <c r="J30" s="108">
        <f t="shared" si="19"/>
        <v>8997.5079999999998</v>
      </c>
      <c r="K30" s="108">
        <f t="shared" si="19"/>
        <v>9038.1610000000001</v>
      </c>
      <c r="L30" s="108">
        <f t="shared" si="19"/>
        <v>9074.2890279999992</v>
      </c>
    </row>
    <row r="31" spans="1:12" x14ac:dyDescent="0.2">
      <c r="A31" s="55"/>
      <c r="B31" s="55"/>
      <c r="C31" s="56"/>
      <c r="D31" s="56"/>
      <c r="E31" s="56"/>
      <c r="F31" s="56"/>
      <c r="G31" s="56"/>
      <c r="H31" s="56"/>
      <c r="I31" s="56"/>
      <c r="J31" s="56"/>
      <c r="K31" s="56"/>
      <c r="L31" s="56"/>
    </row>
    <row r="32" spans="1:12" x14ac:dyDescent="0.2">
      <c r="A32" s="35" t="s">
        <v>57</v>
      </c>
      <c r="B32" s="35"/>
      <c r="C32" s="77">
        <f t="shared" ref="C32:H32" si="20">C115</f>
        <v>1850.4970000000001</v>
      </c>
      <c r="D32" s="77">
        <f t="shared" si="20"/>
        <v>1636.43</v>
      </c>
      <c r="E32" s="77">
        <f t="shared" si="20"/>
        <v>2633.3630000000003</v>
      </c>
      <c r="F32" s="77">
        <f t="shared" si="20"/>
        <v>3274.8580000000002</v>
      </c>
      <c r="G32" s="77">
        <f t="shared" si="20"/>
        <v>4177.009</v>
      </c>
      <c r="H32" s="77">
        <f t="shared" si="20"/>
        <v>4550.9269999999997</v>
      </c>
      <c r="I32" s="77">
        <f>I115</f>
        <v>4826.6310000000003</v>
      </c>
      <c r="J32" s="77">
        <f>J115</f>
        <v>4551.8500000000004</v>
      </c>
      <c r="K32" s="77">
        <f>K115</f>
        <v>5042.6390000000001</v>
      </c>
      <c r="L32" s="77">
        <f>L115</f>
        <v>5453.8283180000008</v>
      </c>
    </row>
    <row r="33" spans="1:18" hidden="1" outlineLevel="2" x14ac:dyDescent="0.2">
      <c r="A33" s="61" t="s">
        <v>138</v>
      </c>
      <c r="B33" s="61"/>
      <c r="C33" s="79">
        <f t="shared" ref="C33:H33" si="21">IFERROR(-C54-C62+C86+C87+C88+C98+C99,"n.a.")</f>
        <v>363.52300000000002</v>
      </c>
      <c r="D33" s="79">
        <f t="shared" si="21"/>
        <v>376.71700000000004</v>
      </c>
      <c r="E33" s="79">
        <f t="shared" si="21"/>
        <v>1750.1289999999999</v>
      </c>
      <c r="F33" s="79">
        <f t="shared" si="21"/>
        <v>1889.2840000000001</v>
      </c>
      <c r="G33" s="79">
        <f t="shared" si="21"/>
        <v>1552.076</v>
      </c>
      <c r="H33" s="79">
        <f t="shared" si="21"/>
        <v>1409.4770000000001</v>
      </c>
      <c r="I33" s="79">
        <f>IFERROR(-I54-I62+I86+I87+I88+I98+I99,"n.a.")</f>
        <v>1348.6759999999999</v>
      </c>
      <c r="J33" s="79">
        <f>IFERROR(-J54-J62+J86+J87+J88+J98+J99,"n.a.")</f>
        <v>1187.2829999999999</v>
      </c>
      <c r="K33" s="79">
        <f>IFERROR(-K54-K62+K86+K87+K88+K98+K99,"n.a.")</f>
        <v>1088.4060000000002</v>
      </c>
      <c r="L33" s="79">
        <f>IFERROR(-L54-L62+L86+L87+L88+L98+L99,"n.a.")</f>
        <v>1067.8826750000001</v>
      </c>
    </row>
    <row r="34" spans="1:18" hidden="1" outlineLevel="2" x14ac:dyDescent="0.2">
      <c r="A34" s="61" t="s">
        <v>135</v>
      </c>
      <c r="B34" s="61"/>
      <c r="C34" s="67">
        <v>5.165</v>
      </c>
      <c r="D34" s="67">
        <v>0</v>
      </c>
      <c r="E34" s="67">
        <v>0</v>
      </c>
      <c r="F34" s="67">
        <v>0</v>
      </c>
      <c r="G34" s="67">
        <v>0</v>
      </c>
      <c r="H34" s="67">
        <v>0</v>
      </c>
      <c r="I34" s="67">
        <v>0</v>
      </c>
      <c r="J34" s="67">
        <v>0</v>
      </c>
      <c r="K34" s="67">
        <v>0</v>
      </c>
      <c r="L34" s="67">
        <v>0</v>
      </c>
    </row>
    <row r="35" spans="1:18" collapsed="1" x14ac:dyDescent="0.2">
      <c r="A35" s="29" t="s">
        <v>58</v>
      </c>
      <c r="B35" s="29"/>
      <c r="C35" s="79">
        <f t="shared" ref="C35:L35" si="22">IFERROR(C33+C34,"n.a.")</f>
        <v>368.68800000000005</v>
      </c>
      <c r="D35" s="79">
        <f t="shared" si="22"/>
        <v>376.71700000000004</v>
      </c>
      <c r="E35" s="79">
        <f t="shared" si="22"/>
        <v>1750.1289999999999</v>
      </c>
      <c r="F35" s="79">
        <f t="shared" si="22"/>
        <v>1889.2840000000001</v>
      </c>
      <c r="G35" s="79">
        <f t="shared" si="22"/>
        <v>1552.076</v>
      </c>
      <c r="H35" s="79">
        <f t="shared" si="22"/>
        <v>1409.4770000000001</v>
      </c>
      <c r="I35" s="79">
        <f t="shared" si="22"/>
        <v>1348.6759999999999</v>
      </c>
      <c r="J35" s="79">
        <f t="shared" si="22"/>
        <v>1187.2829999999999</v>
      </c>
      <c r="K35" s="79">
        <f t="shared" si="22"/>
        <v>1088.4060000000002</v>
      </c>
      <c r="L35" s="79">
        <f t="shared" si="22"/>
        <v>1067.8826750000001</v>
      </c>
    </row>
    <row r="36" spans="1:18" x14ac:dyDescent="0.2">
      <c r="A36" s="29" t="s">
        <v>285</v>
      </c>
      <c r="B36" s="29"/>
      <c r="C36" s="79">
        <f t="shared" ref="C36:I36" si="23">IFERROR(C40-C37,C40)</f>
        <v>1038.0159999999996</v>
      </c>
      <c r="D36" s="79">
        <f t="shared" si="23"/>
        <v>1240.5170000000005</v>
      </c>
      <c r="E36" s="79">
        <f t="shared" si="23"/>
        <v>4960.6549999999997</v>
      </c>
      <c r="F36" s="79">
        <f t="shared" si="23"/>
        <v>4912.831000000001</v>
      </c>
      <c r="G36" s="79">
        <f t="shared" si="23"/>
        <v>3218.4949999999994</v>
      </c>
      <c r="H36" s="79">
        <f t="shared" si="23"/>
        <v>3180.1300000000006</v>
      </c>
      <c r="I36" s="79">
        <f t="shared" si="23"/>
        <v>3024.0529999999999</v>
      </c>
      <c r="J36" s="79">
        <f>IFERROR(J40-J37,"n.a.")</f>
        <v>2792.5219999999999</v>
      </c>
      <c r="K36" s="79">
        <f>IFERROR(K40-K37,"n.a.")</f>
        <v>2402.7089999999994</v>
      </c>
      <c r="L36" s="79">
        <f>IFERROR(L40-L37,"n.a.")</f>
        <v>2067.1493339999997</v>
      </c>
    </row>
    <row r="37" spans="1:18" x14ac:dyDescent="0.2">
      <c r="A37" s="159" t="s">
        <v>356</v>
      </c>
      <c r="B37" s="159"/>
      <c r="C37" s="67" t="s">
        <v>228</v>
      </c>
      <c r="D37" s="67" t="s">
        <v>228</v>
      </c>
      <c r="E37" s="67" t="s">
        <v>228</v>
      </c>
      <c r="F37" s="67" t="s">
        <v>228</v>
      </c>
      <c r="G37" s="67" t="s">
        <v>228</v>
      </c>
      <c r="H37" s="67" t="s">
        <v>228</v>
      </c>
      <c r="I37" s="67">
        <v>483.17200000000003</v>
      </c>
      <c r="J37" s="67">
        <v>465.85300000000001</v>
      </c>
      <c r="K37" s="67">
        <v>504.40699999999998</v>
      </c>
      <c r="L37" s="67">
        <v>485.48500000000001</v>
      </c>
    </row>
    <row r="38" spans="1:18" hidden="1" outlineLevel="2" x14ac:dyDescent="0.2">
      <c r="A38" s="61" t="s">
        <v>137</v>
      </c>
      <c r="B38" s="61"/>
      <c r="C38" s="79">
        <f t="shared" ref="C38:H38" si="24">IFERROR(C84+C90+C94+C101-C55-C59-C66-C71-C73-C70-C69,"n.a.")</f>
        <v>1043.7829999999997</v>
      </c>
      <c r="D38" s="79">
        <f t="shared" si="24"/>
        <v>1240.5170000000005</v>
      </c>
      <c r="E38" s="79">
        <f t="shared" si="24"/>
        <v>4960.6549999999997</v>
      </c>
      <c r="F38" s="79">
        <f t="shared" si="24"/>
        <v>4912.831000000001</v>
      </c>
      <c r="G38" s="79">
        <f t="shared" si="24"/>
        <v>3218.4949999999994</v>
      </c>
      <c r="H38" s="79">
        <f t="shared" si="24"/>
        <v>3180.1300000000006</v>
      </c>
      <c r="I38" s="79">
        <f>IFERROR(I84+I90+I94+I101-I55-I59-I66-I71-I73-I70-I69,"n.a.")</f>
        <v>3507.2249999999999</v>
      </c>
      <c r="J38" s="79">
        <f>IFERROR(J84+J90+J94+J101-J55-J59-J66-J71-J73-J70-J69,"n.a.")</f>
        <v>3258.375</v>
      </c>
      <c r="K38" s="79">
        <f>IFERROR(K84+K90+K94+K101-K55-K59-K66-K71-K73-K70-K69,"n.a.")</f>
        <v>2907.1159999999995</v>
      </c>
      <c r="L38" s="79">
        <f>IFERROR(L84+L90+L94+L101-L55-L59-L66-L71-L73-L70-L69,"n.a.")</f>
        <v>2552.6343339999999</v>
      </c>
    </row>
    <row r="39" spans="1:18" hidden="1" outlineLevel="2" x14ac:dyDescent="0.2">
      <c r="A39" s="61" t="s">
        <v>136</v>
      </c>
      <c r="B39" s="61"/>
      <c r="C39" s="67">
        <v>-5.7670000000000003</v>
      </c>
      <c r="D39" s="67">
        <v>0</v>
      </c>
      <c r="E39" s="67">
        <v>0</v>
      </c>
      <c r="F39" s="67">
        <v>0</v>
      </c>
      <c r="G39" s="67">
        <v>0</v>
      </c>
      <c r="H39" s="67">
        <v>0</v>
      </c>
      <c r="I39" s="67">
        <v>0</v>
      </c>
      <c r="J39" s="67">
        <v>0</v>
      </c>
      <c r="K39" s="67">
        <v>0</v>
      </c>
      <c r="L39" s="67">
        <v>0</v>
      </c>
    </row>
    <row r="40" spans="1:18" collapsed="1" x14ac:dyDescent="0.2">
      <c r="A40" s="29" t="s">
        <v>286</v>
      </c>
      <c r="B40" s="29"/>
      <c r="C40" s="79">
        <f t="shared" ref="C40:L40" si="25">IFERROR(C38+C39,"n.a.")</f>
        <v>1038.0159999999996</v>
      </c>
      <c r="D40" s="79">
        <f t="shared" si="25"/>
        <v>1240.5170000000005</v>
      </c>
      <c r="E40" s="79">
        <f t="shared" si="25"/>
        <v>4960.6549999999997</v>
      </c>
      <c r="F40" s="79">
        <f t="shared" si="25"/>
        <v>4912.831000000001</v>
      </c>
      <c r="G40" s="79">
        <f t="shared" si="25"/>
        <v>3218.4949999999994</v>
      </c>
      <c r="H40" s="79">
        <f t="shared" si="25"/>
        <v>3180.1300000000006</v>
      </c>
      <c r="I40" s="79">
        <f t="shared" si="25"/>
        <v>3507.2249999999999</v>
      </c>
      <c r="J40" s="79">
        <f t="shared" si="25"/>
        <v>3258.375</v>
      </c>
      <c r="K40" s="79">
        <f t="shared" si="25"/>
        <v>2907.1159999999995</v>
      </c>
      <c r="L40" s="79">
        <f t="shared" si="25"/>
        <v>2552.6343339999999</v>
      </c>
    </row>
    <row r="41" spans="1:18" s="22" customFormat="1" x14ac:dyDescent="0.2">
      <c r="A41" s="99" t="s">
        <v>60</v>
      </c>
      <c r="B41" s="99"/>
      <c r="C41" s="100">
        <f t="shared" ref="C41:L41" si="26">IFERROR(C32+C35+C40,"n.a.")</f>
        <v>3257.2009999999996</v>
      </c>
      <c r="D41" s="100">
        <f t="shared" si="26"/>
        <v>3253.6640000000007</v>
      </c>
      <c r="E41" s="100">
        <f t="shared" si="26"/>
        <v>9344.1470000000008</v>
      </c>
      <c r="F41" s="100">
        <f t="shared" si="26"/>
        <v>10076.973000000002</v>
      </c>
      <c r="G41" s="100">
        <f t="shared" si="26"/>
        <v>8947.58</v>
      </c>
      <c r="H41" s="100">
        <f t="shared" si="26"/>
        <v>9140.5339999999997</v>
      </c>
      <c r="I41" s="100">
        <f t="shared" si="26"/>
        <v>9682.5320000000011</v>
      </c>
      <c r="J41" s="100">
        <f t="shared" si="26"/>
        <v>8997.5079999999998</v>
      </c>
      <c r="K41" s="100">
        <f t="shared" si="26"/>
        <v>9038.1610000000001</v>
      </c>
      <c r="L41" s="100">
        <f t="shared" si="26"/>
        <v>9074.3453270000009</v>
      </c>
    </row>
    <row r="42" spans="1:18" x14ac:dyDescent="0.2">
      <c r="M42" s="22"/>
      <c r="N42" s="22"/>
      <c r="O42" s="22"/>
      <c r="P42" s="22"/>
      <c r="Q42" s="22"/>
      <c r="R42" s="22"/>
    </row>
    <row r="43" spans="1:18" x14ac:dyDescent="0.2">
      <c r="M43" s="22"/>
      <c r="N43" s="22"/>
      <c r="O43" s="22"/>
      <c r="P43" s="22"/>
      <c r="Q43" s="22"/>
      <c r="R43" s="22"/>
    </row>
    <row r="44" spans="1:18" ht="13.5" thickBot="1" x14ac:dyDescent="0.25">
      <c r="A44" s="11" t="s">
        <v>75</v>
      </c>
      <c r="B44" s="11"/>
      <c r="C44" s="13" t="str">
        <f t="shared" ref="C44:I45" si="27">C4</f>
        <v>FY 2014</v>
      </c>
      <c r="D44" s="13" t="str">
        <f t="shared" si="27"/>
        <v>FY 2015</v>
      </c>
      <c r="E44" s="13" t="str">
        <f t="shared" si="27"/>
        <v>FY 2016</v>
      </c>
      <c r="F44" s="13" t="str">
        <f t="shared" si="27"/>
        <v>FY 2016</v>
      </c>
      <c r="G44" s="13" t="str">
        <f t="shared" si="27"/>
        <v>FY 2017</v>
      </c>
      <c r="H44" s="13" t="str">
        <f t="shared" si="27"/>
        <v>FY 2018</v>
      </c>
      <c r="I44" s="13" t="str">
        <f t="shared" si="27"/>
        <v>FY 2019</v>
      </c>
      <c r="J44" s="13" t="str">
        <f t="shared" ref="J44:L45" si="28">J4</f>
        <v>FY 2020</v>
      </c>
      <c r="K44" s="13" t="str">
        <f t="shared" si="28"/>
        <v>FY 2021</v>
      </c>
      <c r="L44" s="13" t="str">
        <f t="shared" si="28"/>
        <v>FY 2022</v>
      </c>
      <c r="M44" s="22"/>
      <c r="N44" s="22"/>
      <c r="O44" s="22"/>
      <c r="P44" s="22"/>
      <c r="Q44" s="22"/>
      <c r="R44" s="22"/>
    </row>
    <row r="45" spans="1:18" x14ac:dyDescent="0.2">
      <c r="C45" s="37" t="str">
        <f t="shared" si="27"/>
        <v>carve-out</v>
      </c>
      <c r="D45" s="37" t="str">
        <f t="shared" si="27"/>
        <v>carve-out</v>
      </c>
      <c r="E45" s="37" t="str">
        <f t="shared" si="27"/>
        <v>carve-out</v>
      </c>
      <c r="F45" s="37" t="str">
        <f t="shared" si="27"/>
        <v>restated</v>
      </c>
      <c r="G45" s="37" t="str">
        <f t="shared" si="27"/>
        <v>reported</v>
      </c>
      <c r="H45" s="37" t="str">
        <f t="shared" si="27"/>
        <v>reported</v>
      </c>
      <c r="I45" s="37" t="str">
        <f t="shared" si="27"/>
        <v>reported</v>
      </c>
      <c r="J45" s="37" t="str">
        <f t="shared" si="28"/>
        <v>reported</v>
      </c>
      <c r="K45" s="37" t="str">
        <f t="shared" si="28"/>
        <v>reported</v>
      </c>
      <c r="L45" s="37" t="str">
        <f t="shared" si="28"/>
        <v>reported</v>
      </c>
      <c r="M45" s="22"/>
      <c r="N45" s="22"/>
      <c r="O45" s="22"/>
      <c r="P45" s="22"/>
      <c r="Q45" s="22"/>
      <c r="R45" s="22"/>
    </row>
    <row r="46" spans="1:18" x14ac:dyDescent="0.2">
      <c r="M46" s="22"/>
      <c r="N46" s="22"/>
      <c r="O46" s="22"/>
      <c r="P46" s="22"/>
      <c r="Q46" s="22"/>
      <c r="R46" s="22"/>
    </row>
    <row r="47" spans="1:18" hidden="1" outlineLevel="1" x14ac:dyDescent="0.2">
      <c r="A47" s="62" t="s">
        <v>0</v>
      </c>
      <c r="B47" s="62"/>
      <c r="C47" s="86">
        <v>2114.5340000000001</v>
      </c>
      <c r="D47" s="86">
        <v>2074.7020000000002</v>
      </c>
      <c r="E47" s="86">
        <v>2925.4929999999999</v>
      </c>
      <c r="F47" s="86">
        <v>3556.6350000000002</v>
      </c>
      <c r="G47" s="86">
        <v>2980.2939999999999</v>
      </c>
      <c r="H47" s="86">
        <v>3092.9270000000001</v>
      </c>
      <c r="I47" s="86">
        <v>3649.8090000000002</v>
      </c>
      <c r="J47" s="86">
        <v>3159.7669999999998</v>
      </c>
      <c r="K47" s="228">
        <v>3288.9140000000002</v>
      </c>
      <c r="L47" s="228">
        <v>3399.6280000000002</v>
      </c>
      <c r="M47" s="22"/>
      <c r="N47" s="22"/>
      <c r="O47" s="22"/>
      <c r="P47" s="22"/>
      <c r="Q47" s="22"/>
      <c r="R47" s="22"/>
    </row>
    <row r="48" spans="1:18" hidden="1" outlineLevel="1" x14ac:dyDescent="0.2">
      <c r="A48" s="61" t="s">
        <v>1</v>
      </c>
      <c r="B48" s="61"/>
      <c r="C48" s="42">
        <v>674.11800000000005</v>
      </c>
      <c r="D48" s="42">
        <v>657.31500000000005</v>
      </c>
      <c r="E48" s="42">
        <v>5996.4440000000004</v>
      </c>
      <c r="F48" s="42">
        <v>6496.8890000000001</v>
      </c>
      <c r="G48" s="42">
        <v>5893.7039999999997</v>
      </c>
      <c r="H48" s="42">
        <v>5783.3379999999997</v>
      </c>
      <c r="I48" s="42">
        <v>5680.1750000000002</v>
      </c>
      <c r="J48" s="42">
        <v>5582.0330000000004</v>
      </c>
      <c r="K48" s="42">
        <v>5485.665</v>
      </c>
      <c r="L48" s="42">
        <v>5382.8370000000004</v>
      </c>
      <c r="M48" s="22"/>
      <c r="N48" s="22"/>
      <c r="O48" s="22"/>
      <c r="P48" s="22"/>
      <c r="Q48" s="22"/>
      <c r="R48" s="22"/>
    </row>
    <row r="49" spans="1:18" hidden="1" outlineLevel="1" x14ac:dyDescent="0.2">
      <c r="A49" s="230" t="s">
        <v>62</v>
      </c>
      <c r="B49" s="230"/>
      <c r="C49" s="236">
        <v>577.34699999999998</v>
      </c>
      <c r="D49" s="236">
        <v>572.70299999999997</v>
      </c>
      <c r="E49" s="236">
        <v>1877.3630000000001</v>
      </c>
      <c r="F49" s="236">
        <v>2351.2629999999999</v>
      </c>
      <c r="G49" s="237">
        <v>1877.3630000000001</v>
      </c>
      <c r="H49" s="237">
        <v>1886.9</v>
      </c>
      <c r="I49" s="237">
        <v>1886.9</v>
      </c>
      <c r="J49" s="236">
        <v>1883.9449999999999</v>
      </c>
      <c r="K49" s="236">
        <v>1883.7650000000001</v>
      </c>
      <c r="L49" s="236">
        <v>1884.6289999999999</v>
      </c>
      <c r="M49" s="22"/>
      <c r="N49" s="22"/>
      <c r="O49" s="22"/>
      <c r="P49" s="22"/>
      <c r="Q49" s="22"/>
      <c r="R49" s="22"/>
    </row>
    <row r="50" spans="1:18" hidden="1" outlineLevel="1" x14ac:dyDescent="0.2">
      <c r="A50" s="61" t="s">
        <v>63</v>
      </c>
      <c r="B50" s="61"/>
      <c r="C50" s="42">
        <v>186.78299999999999</v>
      </c>
      <c r="D50" s="42">
        <v>167.34800000000001</v>
      </c>
      <c r="E50" s="42">
        <v>47.01</v>
      </c>
      <c r="F50" s="42">
        <v>47.01</v>
      </c>
      <c r="G50" s="42">
        <v>17.48</v>
      </c>
      <c r="H50" s="42">
        <v>72.704999999999998</v>
      </c>
      <c r="I50" s="42">
        <v>80.846000000000004</v>
      </c>
      <c r="J50" s="42">
        <v>72.587999999999994</v>
      </c>
      <c r="K50" s="42">
        <v>80.885999999999996</v>
      </c>
      <c r="L50" s="42">
        <v>80.227000000000004</v>
      </c>
      <c r="M50" s="22"/>
      <c r="N50" s="22"/>
      <c r="O50" s="22"/>
      <c r="P50" s="22"/>
      <c r="Q50" s="22"/>
      <c r="R50" s="22"/>
    </row>
    <row r="51" spans="1:18" hidden="1" outlineLevel="1" x14ac:dyDescent="0.2">
      <c r="A51" s="61" t="s">
        <v>64</v>
      </c>
      <c r="B51" s="61"/>
      <c r="C51" s="42">
        <v>180.732</v>
      </c>
      <c r="D51" s="42">
        <v>225.113</v>
      </c>
      <c r="E51" s="42">
        <v>198.67400000000001</v>
      </c>
      <c r="F51" s="42">
        <v>198.691</v>
      </c>
      <c r="G51" s="42">
        <v>229.51900000000001</v>
      </c>
      <c r="H51" s="42">
        <v>0</v>
      </c>
      <c r="I51" s="42">
        <v>0</v>
      </c>
      <c r="J51" s="42">
        <v>0</v>
      </c>
      <c r="K51" s="42">
        <v>0</v>
      </c>
      <c r="L51" s="42">
        <v>0</v>
      </c>
      <c r="M51" s="22"/>
      <c r="N51" s="22"/>
      <c r="O51" s="22"/>
      <c r="P51" s="22"/>
      <c r="Q51" s="22"/>
      <c r="R51" s="22"/>
    </row>
    <row r="52" spans="1:18" hidden="1" outlineLevel="1" x14ac:dyDescent="0.2">
      <c r="A52" s="61" t="s">
        <v>238</v>
      </c>
      <c r="B52" s="61"/>
      <c r="C52" s="42">
        <v>0</v>
      </c>
      <c r="D52" s="42">
        <v>0</v>
      </c>
      <c r="E52" s="42">
        <v>0</v>
      </c>
      <c r="F52" s="42">
        <v>0</v>
      </c>
      <c r="G52" s="42">
        <v>0</v>
      </c>
      <c r="H52" s="42">
        <v>0</v>
      </c>
      <c r="I52" s="42">
        <v>0</v>
      </c>
      <c r="J52" s="42">
        <v>0</v>
      </c>
      <c r="K52" s="42">
        <v>0</v>
      </c>
      <c r="L52" s="42">
        <v>0</v>
      </c>
      <c r="M52" s="22"/>
      <c r="N52" s="22"/>
      <c r="O52" s="22"/>
      <c r="P52" s="22"/>
      <c r="Q52" s="22"/>
      <c r="R52" s="22"/>
    </row>
    <row r="53" spans="1:18" hidden="1" outlineLevel="1" x14ac:dyDescent="0.2">
      <c r="A53" s="61" t="s">
        <v>306</v>
      </c>
      <c r="B53" s="61"/>
      <c r="C53" s="42">
        <v>0</v>
      </c>
      <c r="D53" s="42">
        <v>0</v>
      </c>
      <c r="E53" s="42">
        <v>0</v>
      </c>
      <c r="F53" s="42">
        <v>0</v>
      </c>
      <c r="G53" s="42">
        <v>0</v>
      </c>
      <c r="H53" s="42">
        <v>68.781000000000006</v>
      </c>
      <c r="I53" s="42">
        <v>58.966999999999999</v>
      </c>
      <c r="J53" s="42">
        <v>42.72</v>
      </c>
      <c r="K53" s="42">
        <v>56.906999999999996</v>
      </c>
      <c r="L53" s="42">
        <v>48.419302999999999</v>
      </c>
      <c r="M53" s="22"/>
      <c r="N53" s="22"/>
      <c r="O53" s="22"/>
      <c r="P53" s="22"/>
      <c r="Q53" s="22"/>
      <c r="R53" s="22"/>
    </row>
    <row r="54" spans="1:18" hidden="1" outlineLevel="1" x14ac:dyDescent="0.2">
      <c r="A54" s="61" t="s">
        <v>65</v>
      </c>
      <c r="B54" s="61"/>
      <c r="C54" s="42">
        <v>240.505</v>
      </c>
      <c r="D54" s="42">
        <v>105.848</v>
      </c>
      <c r="E54" s="42">
        <v>116.04600000000001</v>
      </c>
      <c r="F54" s="42">
        <v>147.964</v>
      </c>
      <c r="G54" s="42">
        <v>111.553</v>
      </c>
      <c r="H54" s="42">
        <v>74.117999999999995</v>
      </c>
      <c r="I54" s="42">
        <v>81.188000000000002</v>
      </c>
      <c r="J54" s="42">
        <v>109.378</v>
      </c>
      <c r="K54" s="42">
        <v>137.643</v>
      </c>
      <c r="L54" s="42">
        <v>176.96859499999999</v>
      </c>
      <c r="M54" s="22"/>
      <c r="N54" s="22"/>
      <c r="O54" s="22"/>
      <c r="P54" s="22"/>
      <c r="Q54" s="22"/>
      <c r="R54" s="22"/>
    </row>
    <row r="55" spans="1:18" hidden="1" outlineLevel="2" x14ac:dyDescent="0.2">
      <c r="A55" s="89" t="s">
        <v>132</v>
      </c>
      <c r="B55" s="89"/>
      <c r="C55" s="42">
        <v>49.33</v>
      </c>
      <c r="D55" s="42">
        <v>43.536999999999999</v>
      </c>
      <c r="E55" s="42">
        <v>84.712000000000003</v>
      </c>
      <c r="F55" s="42">
        <v>95.713999999999999</v>
      </c>
      <c r="G55" s="42">
        <v>94.584999999999994</v>
      </c>
      <c r="H55" s="67">
        <v>123.547</v>
      </c>
      <c r="I55" s="67">
        <v>135.99600000000001</v>
      </c>
      <c r="J55" s="67">
        <v>265.94499999999999</v>
      </c>
      <c r="K55" s="67">
        <v>261.52199999999999</v>
      </c>
      <c r="L55" s="67">
        <v>104.767</v>
      </c>
      <c r="M55" s="22"/>
      <c r="N55" s="22"/>
      <c r="O55" s="22"/>
      <c r="P55" s="22"/>
      <c r="Q55" s="22"/>
      <c r="R55" s="22"/>
    </row>
    <row r="56" spans="1:18" hidden="1" outlineLevel="2" x14ac:dyDescent="0.2">
      <c r="A56" s="89" t="s">
        <v>133</v>
      </c>
      <c r="B56" s="89"/>
      <c r="C56" s="42">
        <v>73.125</v>
      </c>
      <c r="D56" s="42">
        <v>66.890000000000015</v>
      </c>
      <c r="E56" s="42">
        <v>108.26600000000001</v>
      </c>
      <c r="F56" s="42">
        <v>131.154</v>
      </c>
      <c r="G56" s="42">
        <v>109.46599999999999</v>
      </c>
      <c r="H56" s="67">
        <v>102.16</v>
      </c>
      <c r="I56" s="67">
        <v>206.40099999999998</v>
      </c>
      <c r="J56" s="67">
        <v>136.20300000000003</v>
      </c>
      <c r="K56" s="67">
        <v>101.42200000000003</v>
      </c>
      <c r="L56" s="67">
        <v>126.4</v>
      </c>
      <c r="M56" s="22"/>
      <c r="N56" s="22"/>
      <c r="O56" s="22"/>
      <c r="P56" s="22"/>
      <c r="Q56" s="22"/>
      <c r="R56" s="22"/>
    </row>
    <row r="57" spans="1:18" hidden="1" outlineLevel="1" x14ac:dyDescent="0.2">
      <c r="A57" s="61" t="s">
        <v>66</v>
      </c>
      <c r="B57" s="61"/>
      <c r="C57" s="80">
        <f t="shared" ref="C57:L57" si="29">IFERROR(C55+C56,"n.a.")</f>
        <v>122.455</v>
      </c>
      <c r="D57" s="80">
        <f t="shared" si="29"/>
        <v>110.42700000000002</v>
      </c>
      <c r="E57" s="80">
        <f t="shared" si="29"/>
        <v>192.97800000000001</v>
      </c>
      <c r="F57" s="80">
        <f t="shared" si="29"/>
        <v>226.86799999999999</v>
      </c>
      <c r="G57" s="80">
        <f t="shared" si="29"/>
        <v>204.05099999999999</v>
      </c>
      <c r="H57" s="79">
        <f t="shared" si="29"/>
        <v>225.70699999999999</v>
      </c>
      <c r="I57" s="79">
        <f t="shared" si="29"/>
        <v>342.39699999999999</v>
      </c>
      <c r="J57" s="79">
        <f t="shared" si="29"/>
        <v>402.14800000000002</v>
      </c>
      <c r="K57" s="79">
        <f t="shared" si="29"/>
        <v>362.94400000000002</v>
      </c>
      <c r="L57" s="79">
        <f t="shared" si="29"/>
        <v>231.167</v>
      </c>
      <c r="M57" s="22"/>
      <c r="N57" s="22"/>
      <c r="O57" s="22"/>
      <c r="P57" s="22"/>
      <c r="Q57" s="22"/>
      <c r="R57" s="22"/>
    </row>
    <row r="58" spans="1:18" hidden="1" outlineLevel="1" x14ac:dyDescent="0.2">
      <c r="A58" s="61" t="s">
        <v>67</v>
      </c>
      <c r="B58" s="61"/>
      <c r="C58" s="42">
        <v>9.9939999999999998</v>
      </c>
      <c r="D58" s="42">
        <v>5.3079999999999998</v>
      </c>
      <c r="E58" s="42">
        <v>11.864000000000001</v>
      </c>
      <c r="F58" s="42">
        <v>11.864000000000001</v>
      </c>
      <c r="G58" s="42">
        <v>27.318000000000001</v>
      </c>
      <c r="H58" s="67">
        <v>16.169</v>
      </c>
      <c r="I58" s="67">
        <v>9.14</v>
      </c>
      <c r="J58" s="67">
        <v>4.7610000000000001</v>
      </c>
      <c r="K58" s="67">
        <v>27.564</v>
      </c>
      <c r="L58" s="67">
        <v>9.0547260000000005</v>
      </c>
      <c r="M58" s="22"/>
      <c r="N58" s="22"/>
      <c r="O58" s="22"/>
      <c r="P58" s="22"/>
      <c r="Q58" s="22"/>
      <c r="R58" s="22"/>
    </row>
    <row r="59" spans="1:18" hidden="1" outlineLevel="2" x14ac:dyDescent="0.2">
      <c r="A59" s="89" t="s">
        <v>255</v>
      </c>
      <c r="B59" s="89"/>
      <c r="C59" s="42">
        <v>0</v>
      </c>
      <c r="D59" s="42">
        <v>0</v>
      </c>
      <c r="E59" s="42">
        <v>0</v>
      </c>
      <c r="F59" s="42">
        <v>0</v>
      </c>
      <c r="G59" s="42">
        <v>0</v>
      </c>
      <c r="H59" s="67">
        <v>20.134</v>
      </c>
      <c r="I59" s="67">
        <v>52.515000000000001</v>
      </c>
      <c r="J59" s="67">
        <v>0</v>
      </c>
      <c r="K59" s="67">
        <v>4.6120000000000001</v>
      </c>
      <c r="L59" s="67">
        <v>26.430126000000001</v>
      </c>
      <c r="M59" s="22"/>
      <c r="N59" s="22"/>
      <c r="O59" s="22"/>
      <c r="P59" s="22"/>
      <c r="Q59" s="22"/>
      <c r="R59" s="22"/>
    </row>
    <row r="60" spans="1:18" hidden="1" outlineLevel="2" x14ac:dyDescent="0.2">
      <c r="A60" s="89" t="s">
        <v>256</v>
      </c>
      <c r="B60" s="89"/>
      <c r="C60" s="42">
        <v>0</v>
      </c>
      <c r="D60" s="42">
        <v>0</v>
      </c>
      <c r="E60" s="42">
        <v>0</v>
      </c>
      <c r="F60" s="42">
        <v>0</v>
      </c>
      <c r="G60" s="42">
        <v>0.84799999999999998</v>
      </c>
      <c r="H60" s="67">
        <v>0</v>
      </c>
      <c r="I60" s="67">
        <v>0</v>
      </c>
      <c r="J60" s="67">
        <v>0</v>
      </c>
      <c r="K60" s="67">
        <v>0</v>
      </c>
      <c r="L60" s="67">
        <v>0</v>
      </c>
      <c r="M60" s="22"/>
      <c r="N60" s="22"/>
      <c r="O60" s="22"/>
      <c r="P60" s="22"/>
      <c r="Q60" s="22"/>
      <c r="R60" s="22"/>
    </row>
    <row r="61" spans="1:18" hidden="1" outlineLevel="1" x14ac:dyDescent="0.2">
      <c r="A61" s="117" t="s">
        <v>71</v>
      </c>
      <c r="B61" s="117"/>
      <c r="C61" s="79">
        <f t="shared" ref="C61:L61" si="30">IFERROR(C59+C60,"n.a.")</f>
        <v>0</v>
      </c>
      <c r="D61" s="79">
        <f t="shared" si="30"/>
        <v>0</v>
      </c>
      <c r="E61" s="79">
        <f t="shared" si="30"/>
        <v>0</v>
      </c>
      <c r="F61" s="79">
        <f t="shared" si="30"/>
        <v>0</v>
      </c>
      <c r="G61" s="79">
        <f t="shared" si="30"/>
        <v>0.84799999999999998</v>
      </c>
      <c r="H61" s="79">
        <f t="shared" si="30"/>
        <v>20.134</v>
      </c>
      <c r="I61" s="79">
        <f t="shared" si="30"/>
        <v>52.515000000000001</v>
      </c>
      <c r="J61" s="79">
        <f t="shared" si="30"/>
        <v>0</v>
      </c>
      <c r="K61" s="79">
        <f t="shared" si="30"/>
        <v>4.6120000000000001</v>
      </c>
      <c r="L61" s="79">
        <f t="shared" si="30"/>
        <v>26.430126000000001</v>
      </c>
      <c r="M61" s="22"/>
      <c r="N61" s="22"/>
      <c r="O61" s="22"/>
      <c r="P61" s="22"/>
      <c r="Q61" s="22"/>
      <c r="R61" s="22"/>
    </row>
    <row r="62" spans="1:18" hidden="1" outlineLevel="1" x14ac:dyDescent="0.2">
      <c r="A62" s="61" t="s">
        <v>335</v>
      </c>
      <c r="B62" s="61"/>
      <c r="C62" s="42">
        <v>0</v>
      </c>
      <c r="D62" s="42">
        <v>0</v>
      </c>
      <c r="E62" s="42">
        <v>0</v>
      </c>
      <c r="F62" s="42">
        <v>0</v>
      </c>
      <c r="G62" s="42">
        <v>0</v>
      </c>
      <c r="H62" s="42">
        <v>0</v>
      </c>
      <c r="I62" s="42">
        <v>57.829000000000001</v>
      </c>
      <c r="J62" s="42">
        <v>80.421999999999997</v>
      </c>
      <c r="K62" s="42">
        <v>153.20500000000001</v>
      </c>
      <c r="L62" s="42">
        <v>120.4808</v>
      </c>
      <c r="M62" s="22"/>
      <c r="N62" s="22"/>
      <c r="O62" s="22"/>
      <c r="P62" s="22"/>
      <c r="Q62" s="22"/>
      <c r="R62" s="22"/>
    </row>
    <row r="63" spans="1:18" s="22" customFormat="1" collapsed="1" x14ac:dyDescent="0.2">
      <c r="A63" s="91" t="s">
        <v>68</v>
      </c>
      <c r="B63" s="91"/>
      <c r="C63" s="88">
        <f>IFERROR(C47+C48+C50+C51+C52+C53+C54+C57+C58+C61+C62,"n.a.")</f>
        <v>3529.1210000000001</v>
      </c>
      <c r="D63" s="88">
        <f t="shared" ref="D63:J63" si="31">IFERROR(D47+D48+D50+D51+D52+D53+D54+D57+D58+D61+D62,"n.a.")</f>
        <v>3346.0610000000001</v>
      </c>
      <c r="E63" s="88">
        <f t="shared" si="31"/>
        <v>9488.509</v>
      </c>
      <c r="F63" s="88">
        <f t="shared" si="31"/>
        <v>10685.921000000002</v>
      </c>
      <c r="G63" s="88">
        <f t="shared" si="31"/>
        <v>9464.766999999998</v>
      </c>
      <c r="H63" s="94">
        <f t="shared" si="31"/>
        <v>9353.8790000000008</v>
      </c>
      <c r="I63" s="94">
        <f t="shared" si="31"/>
        <v>10012.866</v>
      </c>
      <c r="J63" s="94">
        <f t="shared" si="31"/>
        <v>9453.8169999999991</v>
      </c>
      <c r="K63" s="94">
        <f>IFERROR(K47+K48+K50+K51+K52+K53+K54+K57+K58+K61+K62,"n.a.")</f>
        <v>9598.3399999999983</v>
      </c>
      <c r="L63" s="94">
        <f>IFERROR(L47+L48+L50+L51+L52+L53+L54+L57+L58+L61+L62,"n.a.")</f>
        <v>9475.2125500000002</v>
      </c>
    </row>
    <row r="64" spans="1:18" hidden="1" outlineLevel="1" x14ac:dyDescent="0.2">
      <c r="A64" s="61" t="s">
        <v>51</v>
      </c>
      <c r="B64" s="61"/>
      <c r="C64" s="42">
        <v>850.45600000000002</v>
      </c>
      <c r="D64" s="42">
        <v>848.577</v>
      </c>
      <c r="E64" s="42">
        <v>873.96199999999999</v>
      </c>
      <c r="F64" s="42">
        <v>1055.6389999999999</v>
      </c>
      <c r="G64" s="42">
        <v>940.66800000000001</v>
      </c>
      <c r="H64" s="67">
        <v>1128.4659999999999</v>
      </c>
      <c r="I64" s="67">
        <v>1093.7539999999999</v>
      </c>
      <c r="J64" s="67">
        <v>836.43700000000001</v>
      </c>
      <c r="K64" s="67">
        <v>1092.162</v>
      </c>
      <c r="L64" s="67">
        <v>1457.7108149999999</v>
      </c>
      <c r="M64" s="22"/>
      <c r="N64" s="22"/>
      <c r="O64" s="22"/>
      <c r="P64" s="22"/>
      <c r="Q64" s="22"/>
      <c r="R64" s="22"/>
    </row>
    <row r="65" spans="1:18" hidden="1" outlineLevel="1" x14ac:dyDescent="0.2">
      <c r="A65" s="61" t="s">
        <v>52</v>
      </c>
      <c r="B65" s="61"/>
      <c r="C65" s="42">
        <v>566.30399999999997</v>
      </c>
      <c r="D65" s="42">
        <v>583.529</v>
      </c>
      <c r="E65" s="42">
        <v>680.06899999999996</v>
      </c>
      <c r="F65" s="42">
        <v>679.32100000000003</v>
      </c>
      <c r="G65" s="42">
        <v>652.48699999999997</v>
      </c>
      <c r="H65" s="67">
        <v>627.96799999999996</v>
      </c>
      <c r="I65" s="67">
        <v>649.39400000000001</v>
      </c>
      <c r="J65" s="67">
        <v>597.66899999999998</v>
      </c>
      <c r="K65" s="67">
        <v>659.20899999999995</v>
      </c>
      <c r="L65" s="67">
        <f>636.446+0.005</f>
        <v>636.45100000000002</v>
      </c>
      <c r="M65" s="22"/>
      <c r="N65" s="22"/>
      <c r="O65" s="22"/>
      <c r="P65" s="22"/>
      <c r="Q65" s="22"/>
      <c r="R65" s="22"/>
    </row>
    <row r="66" spans="1:18" hidden="1" outlineLevel="2" x14ac:dyDescent="0.2">
      <c r="A66" s="89" t="s">
        <v>132</v>
      </c>
      <c r="B66" s="89"/>
      <c r="C66" s="42">
        <v>40.142000000000003</v>
      </c>
      <c r="D66" s="42">
        <v>7.2140000000000004</v>
      </c>
      <c r="E66" s="42">
        <v>60.985999999999997</v>
      </c>
      <c r="F66" s="42">
        <v>29.951000000000001</v>
      </c>
      <c r="G66" s="42">
        <v>36.511000000000003</v>
      </c>
      <c r="H66" s="67">
        <v>27.32</v>
      </c>
      <c r="I66" s="67">
        <v>35.503</v>
      </c>
      <c r="J66" s="67">
        <v>102.574</v>
      </c>
      <c r="K66" s="67">
        <v>81.819000000000003</v>
      </c>
      <c r="L66" s="67">
        <v>270.91699999999997</v>
      </c>
      <c r="M66" s="22"/>
      <c r="N66" s="22"/>
      <c r="O66" s="22"/>
      <c r="P66" s="22"/>
      <c r="Q66" s="22"/>
      <c r="R66" s="22"/>
    </row>
    <row r="67" spans="1:18" hidden="1" outlineLevel="2" x14ac:dyDescent="0.2">
      <c r="A67" s="89" t="s">
        <v>133</v>
      </c>
      <c r="B67" s="89"/>
      <c r="C67" s="42">
        <v>192.38200000000001</v>
      </c>
      <c r="D67" s="42">
        <v>129.53200000000001</v>
      </c>
      <c r="E67" s="42">
        <v>303.83100000000002</v>
      </c>
      <c r="F67" s="42">
        <v>245.67100000000002</v>
      </c>
      <c r="G67" s="42">
        <v>364.02799999999996</v>
      </c>
      <c r="H67" s="67">
        <v>389.33100000000002</v>
      </c>
      <c r="I67" s="67">
        <v>416.35500000000002</v>
      </c>
      <c r="J67" s="67">
        <v>366.62</v>
      </c>
      <c r="K67" s="67">
        <v>388.75799999999998</v>
      </c>
      <c r="L67" s="67">
        <v>470.3</v>
      </c>
      <c r="M67" s="22"/>
      <c r="N67" s="22"/>
      <c r="O67" s="22"/>
      <c r="P67" s="22"/>
      <c r="Q67" s="22"/>
      <c r="R67" s="22"/>
    </row>
    <row r="68" spans="1:18" hidden="1" outlineLevel="1" x14ac:dyDescent="0.2">
      <c r="A68" s="61" t="s">
        <v>66</v>
      </c>
      <c r="B68" s="61"/>
      <c r="C68" s="80">
        <f t="shared" ref="C68:L68" si="32">IFERROR(C66+C67,"n.a.")</f>
        <v>232.524</v>
      </c>
      <c r="D68" s="80">
        <f t="shared" si="32"/>
        <v>136.74600000000001</v>
      </c>
      <c r="E68" s="80">
        <f t="shared" si="32"/>
        <v>364.81700000000001</v>
      </c>
      <c r="F68" s="80">
        <f t="shared" si="32"/>
        <v>275.62200000000001</v>
      </c>
      <c r="G68" s="80">
        <f t="shared" si="32"/>
        <v>400.53899999999999</v>
      </c>
      <c r="H68" s="79">
        <f t="shared" si="32"/>
        <v>416.65100000000001</v>
      </c>
      <c r="I68" s="79">
        <f t="shared" si="32"/>
        <v>451.858</v>
      </c>
      <c r="J68" s="79">
        <f t="shared" si="32"/>
        <v>469.19400000000002</v>
      </c>
      <c r="K68" s="79">
        <f t="shared" si="32"/>
        <v>470.577</v>
      </c>
      <c r="L68" s="79">
        <f t="shared" si="32"/>
        <v>741.21699999999998</v>
      </c>
      <c r="M68" s="22"/>
      <c r="N68" s="22"/>
      <c r="O68" s="22"/>
      <c r="P68" s="22"/>
      <c r="Q68" s="22"/>
      <c r="R68" s="22"/>
    </row>
    <row r="69" spans="1:18" hidden="1" outlineLevel="1" x14ac:dyDescent="0.2">
      <c r="A69" s="61" t="s">
        <v>238</v>
      </c>
      <c r="B69" s="61"/>
      <c r="C69" s="67">
        <v>0</v>
      </c>
      <c r="D69" s="42">
        <v>0</v>
      </c>
      <c r="E69" s="42">
        <v>0</v>
      </c>
      <c r="F69" s="42">
        <v>0</v>
      </c>
      <c r="G69" s="42">
        <v>0</v>
      </c>
      <c r="H69" s="67">
        <v>27.196000000000002</v>
      </c>
      <c r="I69" s="67">
        <v>38.119</v>
      </c>
      <c r="J69" s="67">
        <v>58.944000000000003</v>
      </c>
      <c r="K69" s="67">
        <v>113.901</v>
      </c>
      <c r="L69" s="67">
        <v>246.883712</v>
      </c>
      <c r="M69" s="22"/>
      <c r="N69" s="22"/>
      <c r="O69" s="22"/>
      <c r="P69" s="22"/>
      <c r="Q69" s="22"/>
      <c r="R69" s="22"/>
    </row>
    <row r="70" spans="1:18" hidden="1" outlineLevel="1" x14ac:dyDescent="0.2">
      <c r="A70" s="61" t="s">
        <v>69</v>
      </c>
      <c r="B70" s="61"/>
      <c r="C70" s="67">
        <v>61.404000000000003</v>
      </c>
      <c r="D70" s="42">
        <v>78.167000000000002</v>
      </c>
      <c r="E70" s="42">
        <v>48.597000000000001</v>
      </c>
      <c r="F70" s="42">
        <v>48.597000000000001</v>
      </c>
      <c r="G70" s="42">
        <v>33.027000000000001</v>
      </c>
      <c r="H70" s="67">
        <v>0</v>
      </c>
      <c r="I70" s="67">
        <v>0</v>
      </c>
      <c r="J70" s="67">
        <v>0</v>
      </c>
      <c r="K70" s="67">
        <v>0</v>
      </c>
      <c r="L70" s="67">
        <v>0</v>
      </c>
      <c r="M70" s="22"/>
      <c r="N70" s="22"/>
      <c r="O70" s="22"/>
      <c r="P70" s="22"/>
      <c r="Q70" s="22"/>
      <c r="R70" s="22"/>
    </row>
    <row r="71" spans="1:18" hidden="1" outlineLevel="1" x14ac:dyDescent="0.2">
      <c r="A71" s="61" t="s">
        <v>70</v>
      </c>
      <c r="B71" s="61"/>
      <c r="C71" s="67">
        <v>892.57299999999998</v>
      </c>
      <c r="D71" s="42">
        <v>840.89700000000005</v>
      </c>
      <c r="E71" s="42">
        <v>1397.38</v>
      </c>
      <c r="F71" s="42">
        <v>1532.9770000000001</v>
      </c>
      <c r="G71" s="42">
        <v>1118.4369999999999</v>
      </c>
      <c r="H71" s="67">
        <v>1326.9</v>
      </c>
      <c r="I71" s="67">
        <v>1609.8209999999999</v>
      </c>
      <c r="J71" s="67">
        <v>2275.4760000000001</v>
      </c>
      <c r="K71" s="67">
        <v>1884.6489999999999</v>
      </c>
      <c r="L71" s="67">
        <v>1289.7440419999998</v>
      </c>
      <c r="M71" s="22"/>
      <c r="N71" s="22"/>
      <c r="O71" s="22"/>
      <c r="P71" s="22"/>
      <c r="Q71" s="22"/>
      <c r="R71" s="22"/>
    </row>
    <row r="72" spans="1:18" hidden="1" outlineLevel="1" x14ac:dyDescent="0.2">
      <c r="A72" s="61" t="s">
        <v>67</v>
      </c>
      <c r="B72" s="61"/>
      <c r="C72" s="42">
        <v>72.433000000000007</v>
      </c>
      <c r="D72" s="42">
        <v>61.573</v>
      </c>
      <c r="E72" s="42">
        <v>63.088999999999999</v>
      </c>
      <c r="F72" s="42">
        <v>64.394999999999996</v>
      </c>
      <c r="G72" s="42">
        <v>35.460999999999999</v>
      </c>
      <c r="H72" s="67">
        <v>41.393000000000001</v>
      </c>
      <c r="I72" s="67">
        <v>41.494</v>
      </c>
      <c r="J72" s="67">
        <v>29.152999999999999</v>
      </c>
      <c r="K72" s="67">
        <v>17.773</v>
      </c>
      <c r="L72" s="67">
        <v>27.648598999999997</v>
      </c>
      <c r="M72" s="22"/>
      <c r="N72" s="22"/>
      <c r="O72" s="22"/>
      <c r="P72" s="22"/>
      <c r="Q72" s="22"/>
      <c r="R72" s="22"/>
    </row>
    <row r="73" spans="1:18" hidden="1" outlineLevel="2" x14ac:dyDescent="0.2">
      <c r="A73" s="89" t="s">
        <v>313</v>
      </c>
      <c r="B73" s="89"/>
      <c r="C73" s="42">
        <v>6.0750000000000002</v>
      </c>
      <c r="D73" s="42">
        <v>6.84</v>
      </c>
      <c r="E73" s="42">
        <v>3.718</v>
      </c>
      <c r="F73" s="42">
        <v>3.718</v>
      </c>
      <c r="G73" s="42">
        <v>21.413</v>
      </c>
      <c r="H73" s="67">
        <v>91.245000000000005</v>
      </c>
      <c r="I73" s="67">
        <v>32.090000000000003</v>
      </c>
      <c r="J73" s="67">
        <v>13.339</v>
      </c>
      <c r="K73" s="67">
        <v>38.848999999999997</v>
      </c>
      <c r="L73" s="67">
        <v>14.223000000000001</v>
      </c>
      <c r="M73" s="22"/>
      <c r="N73" s="22"/>
      <c r="O73" s="22"/>
      <c r="P73" s="22"/>
      <c r="Q73" s="22"/>
      <c r="R73" s="22"/>
    </row>
    <row r="74" spans="1:18" hidden="1" outlineLevel="2" x14ac:dyDescent="0.2">
      <c r="A74" s="89" t="s">
        <v>312</v>
      </c>
      <c r="B74" s="89"/>
      <c r="C74" s="42">
        <v>17.411999999999999</v>
      </c>
      <c r="D74" s="42">
        <v>51.399000000000001</v>
      </c>
      <c r="E74" s="42">
        <v>18.065999999999999</v>
      </c>
      <c r="F74" s="42">
        <v>20.271000000000001</v>
      </c>
      <c r="G74" s="42">
        <v>6.3569999999999993</v>
      </c>
      <c r="H74" s="67">
        <v>7.3220000000000001</v>
      </c>
      <c r="I74" s="67">
        <v>5.0579999999999998</v>
      </c>
      <c r="J74" s="67">
        <v>4.5609999999999999</v>
      </c>
      <c r="K74" s="67">
        <v>7.713000000000001</v>
      </c>
      <c r="L74" s="67">
        <v>8.4580000000000002</v>
      </c>
      <c r="M74" s="22"/>
      <c r="N74" s="22"/>
      <c r="O74" s="22"/>
      <c r="P74" s="22"/>
      <c r="Q74" s="22"/>
      <c r="R74" s="22"/>
    </row>
    <row r="75" spans="1:18" hidden="1" outlineLevel="1" x14ac:dyDescent="0.2">
      <c r="A75" s="61" t="s">
        <v>71</v>
      </c>
      <c r="B75" s="61"/>
      <c r="C75" s="80">
        <f t="shared" ref="C75:L75" si="33">IFERROR(C73+C74,"n.a.")</f>
        <v>23.486999999999998</v>
      </c>
      <c r="D75" s="80">
        <f t="shared" si="33"/>
        <v>58.239000000000004</v>
      </c>
      <c r="E75" s="80">
        <f t="shared" si="33"/>
        <v>21.783999999999999</v>
      </c>
      <c r="F75" s="80">
        <f t="shared" si="33"/>
        <v>23.989000000000001</v>
      </c>
      <c r="G75" s="80">
        <f t="shared" si="33"/>
        <v>27.77</v>
      </c>
      <c r="H75" s="80">
        <f t="shared" si="33"/>
        <v>98.567000000000007</v>
      </c>
      <c r="I75" s="80">
        <f t="shared" si="33"/>
        <v>37.148000000000003</v>
      </c>
      <c r="J75" s="80">
        <f t="shared" si="33"/>
        <v>17.899999999999999</v>
      </c>
      <c r="K75" s="80">
        <f t="shared" si="33"/>
        <v>46.561999999999998</v>
      </c>
      <c r="L75" s="80">
        <f t="shared" si="33"/>
        <v>22.681000000000001</v>
      </c>
      <c r="M75" s="22"/>
      <c r="N75" s="22"/>
      <c r="O75" s="22"/>
      <c r="P75" s="22"/>
      <c r="Q75" s="22"/>
      <c r="R75" s="22"/>
    </row>
    <row r="76" spans="1:18" s="22" customFormat="1" collapsed="1" x14ac:dyDescent="0.2">
      <c r="A76" s="91" t="s">
        <v>72</v>
      </c>
      <c r="B76" s="91"/>
      <c r="C76" s="88">
        <f t="shared" ref="C76:L76" si="34">IFERROR(C64+C65+C68+C69+C70+C71+C72+C75,"n.a.")</f>
        <v>2699.181</v>
      </c>
      <c r="D76" s="88">
        <f t="shared" si="34"/>
        <v>2607.7280000000001</v>
      </c>
      <c r="E76" s="88">
        <f t="shared" si="34"/>
        <v>3449.6979999999999</v>
      </c>
      <c r="F76" s="88">
        <f t="shared" si="34"/>
        <v>3680.54</v>
      </c>
      <c r="G76" s="88">
        <f t="shared" si="34"/>
        <v>3208.3889999999997</v>
      </c>
      <c r="H76" s="88">
        <f t="shared" si="34"/>
        <v>3667.1409999999996</v>
      </c>
      <c r="I76" s="88">
        <f t="shared" si="34"/>
        <v>3921.5880000000002</v>
      </c>
      <c r="J76" s="88">
        <f t="shared" si="34"/>
        <v>4284.7730000000001</v>
      </c>
      <c r="K76" s="88">
        <f t="shared" si="34"/>
        <v>4284.8329999999996</v>
      </c>
      <c r="L76" s="88">
        <f t="shared" si="34"/>
        <v>4422.3361679999989</v>
      </c>
    </row>
    <row r="77" spans="1:18" hidden="1" outlineLevel="1" x14ac:dyDescent="0.2">
      <c r="A77" s="183" t="s">
        <v>2</v>
      </c>
      <c r="B77" s="29"/>
      <c r="C77" s="42">
        <v>44.036999999999999</v>
      </c>
      <c r="D77" s="42">
        <v>0</v>
      </c>
      <c r="E77" s="42">
        <v>0</v>
      </c>
      <c r="F77" s="42">
        <v>0</v>
      </c>
      <c r="G77" s="42">
        <v>60.728999999999999</v>
      </c>
      <c r="H77" s="42">
        <v>10.677</v>
      </c>
      <c r="I77" s="42">
        <v>0</v>
      </c>
      <c r="J77" s="42">
        <v>0</v>
      </c>
      <c r="K77" s="42">
        <v>0</v>
      </c>
      <c r="L77" s="42">
        <v>0</v>
      </c>
      <c r="M77" s="22"/>
      <c r="N77" s="22"/>
      <c r="O77" s="22"/>
      <c r="P77" s="22"/>
      <c r="Q77" s="22"/>
      <c r="R77" s="22"/>
    </row>
    <row r="78" spans="1:18" s="22" customFormat="1" collapsed="1" x14ac:dyDescent="0.2">
      <c r="A78" s="99" t="s">
        <v>3</v>
      </c>
      <c r="B78" s="99"/>
      <c r="C78" s="100">
        <f t="shared" ref="C78:L78" si="35">IFERROR(C63+C76+C77,"n.a.")</f>
        <v>6272.3389999999999</v>
      </c>
      <c r="D78" s="100">
        <f t="shared" si="35"/>
        <v>5953.7890000000007</v>
      </c>
      <c r="E78" s="100">
        <f t="shared" si="35"/>
        <v>12938.207</v>
      </c>
      <c r="F78" s="100">
        <f t="shared" si="35"/>
        <v>14366.461000000003</v>
      </c>
      <c r="G78" s="100">
        <f t="shared" si="35"/>
        <v>12733.884999999997</v>
      </c>
      <c r="H78" s="100">
        <f t="shared" si="35"/>
        <v>13031.697</v>
      </c>
      <c r="I78" s="100">
        <f t="shared" si="35"/>
        <v>13934.454</v>
      </c>
      <c r="J78" s="100">
        <f t="shared" si="35"/>
        <v>13738.59</v>
      </c>
      <c r="K78" s="100">
        <f t="shared" si="35"/>
        <v>13883.172999999999</v>
      </c>
      <c r="L78" s="100">
        <f t="shared" si="35"/>
        <v>13897.548717999998</v>
      </c>
    </row>
    <row r="79" spans="1:18" x14ac:dyDescent="0.2">
      <c r="G79" s="40"/>
      <c r="H79" s="40"/>
      <c r="I79" s="40"/>
      <c r="J79" s="40"/>
      <c r="K79" s="40"/>
      <c r="L79" s="40"/>
      <c r="M79" s="22"/>
      <c r="N79" s="22"/>
      <c r="O79" s="22"/>
      <c r="P79" s="22"/>
      <c r="Q79" s="22"/>
      <c r="R79" s="22"/>
    </row>
    <row r="81" spans="1:12" ht="13.5" thickBot="1" x14ac:dyDescent="0.25">
      <c r="A81" s="11" t="s">
        <v>76</v>
      </c>
      <c r="B81" s="11"/>
      <c r="C81" s="13" t="str">
        <f t="shared" ref="C81:I82" si="36">C4</f>
        <v>FY 2014</v>
      </c>
      <c r="D81" s="13" t="str">
        <f t="shared" si="36"/>
        <v>FY 2015</v>
      </c>
      <c r="E81" s="13" t="str">
        <f t="shared" si="36"/>
        <v>FY 2016</v>
      </c>
      <c r="F81" s="13" t="str">
        <f t="shared" si="36"/>
        <v>FY 2016</v>
      </c>
      <c r="G81" s="13" t="str">
        <f t="shared" si="36"/>
        <v>FY 2017</v>
      </c>
      <c r="H81" s="13" t="str">
        <f t="shared" si="36"/>
        <v>FY 2018</v>
      </c>
      <c r="I81" s="13" t="str">
        <f t="shared" si="36"/>
        <v>FY 2019</v>
      </c>
      <c r="J81" s="13" t="str">
        <f t="shared" ref="J81:L82" si="37">J4</f>
        <v>FY 2020</v>
      </c>
      <c r="K81" s="13" t="str">
        <f t="shared" si="37"/>
        <v>FY 2021</v>
      </c>
      <c r="L81" s="13" t="str">
        <f t="shared" si="37"/>
        <v>FY 2022</v>
      </c>
    </row>
    <row r="82" spans="1:12" x14ac:dyDescent="0.2">
      <c r="C82" s="37" t="str">
        <f t="shared" si="36"/>
        <v>carve-out</v>
      </c>
      <c r="D82" s="37" t="str">
        <f t="shared" si="36"/>
        <v>carve-out</v>
      </c>
      <c r="E82" s="37" t="str">
        <f t="shared" si="36"/>
        <v>carve-out</v>
      </c>
      <c r="F82" s="37" t="str">
        <f t="shared" si="36"/>
        <v>restated</v>
      </c>
      <c r="G82" s="37" t="str">
        <f t="shared" si="36"/>
        <v>reported</v>
      </c>
      <c r="H82" s="37" t="str">
        <f t="shared" si="36"/>
        <v>reported</v>
      </c>
      <c r="J82" s="37" t="str">
        <f t="shared" si="37"/>
        <v>reported</v>
      </c>
      <c r="K82" s="37" t="str">
        <f t="shared" si="37"/>
        <v>reported</v>
      </c>
      <c r="L82" s="37" t="str">
        <f t="shared" si="37"/>
        <v>reported</v>
      </c>
    </row>
    <row r="84" spans="1:12" hidden="1" outlineLevel="1" x14ac:dyDescent="0.2">
      <c r="A84" s="62" t="s">
        <v>77</v>
      </c>
      <c r="B84" s="62"/>
      <c r="C84" s="41">
        <v>1745.7380000000001</v>
      </c>
      <c r="D84" s="41">
        <v>1238.3989999999999</v>
      </c>
      <c r="E84" s="41">
        <v>5886.2529999999997</v>
      </c>
      <c r="F84" s="41">
        <v>5945.9989999999998</v>
      </c>
      <c r="G84" s="41">
        <v>3897.0889999999999</v>
      </c>
      <c r="H84" s="41">
        <v>3929.0790000000002</v>
      </c>
      <c r="I84" s="41">
        <v>3949.8359999999998</v>
      </c>
      <c r="J84" s="41">
        <v>4970.9859999999999</v>
      </c>
      <c r="K84" s="41">
        <v>3789.3690000000001</v>
      </c>
      <c r="L84" s="41">
        <v>3690.1106889999996</v>
      </c>
    </row>
    <row r="85" spans="1:12" hidden="1" outlineLevel="1" x14ac:dyDescent="0.2">
      <c r="A85" s="61" t="s">
        <v>78</v>
      </c>
      <c r="B85" s="61"/>
      <c r="C85" s="42">
        <v>57.790999999999997</v>
      </c>
      <c r="D85" s="42">
        <v>85.394999999999996</v>
      </c>
      <c r="E85" s="42">
        <v>72.716999999999999</v>
      </c>
      <c r="F85" s="42">
        <v>87.421000000000006</v>
      </c>
      <c r="G85" s="42">
        <v>74.435000000000002</v>
      </c>
      <c r="H85" s="42">
        <v>83.287000000000006</v>
      </c>
      <c r="I85" s="42">
        <v>90.570999999999998</v>
      </c>
      <c r="J85" s="42">
        <v>77.28</v>
      </c>
      <c r="K85" s="42">
        <v>76.484999999999999</v>
      </c>
      <c r="L85" s="42">
        <v>74.574176000000008</v>
      </c>
    </row>
    <row r="86" spans="1:12" hidden="1" outlineLevel="1" x14ac:dyDescent="0.2">
      <c r="A86" s="61" t="s">
        <v>79</v>
      </c>
      <c r="B86" s="61"/>
      <c r="C86" s="42">
        <v>70.119</v>
      </c>
      <c r="D86" s="42">
        <v>55.91</v>
      </c>
      <c r="E86" s="42">
        <v>139.98699999999999</v>
      </c>
      <c r="F86" s="42">
        <v>170.99199999999999</v>
      </c>
      <c r="G86" s="42">
        <v>127.124</v>
      </c>
      <c r="H86" s="42">
        <v>138.327</v>
      </c>
      <c r="I86" s="42">
        <v>120.46899999999999</v>
      </c>
      <c r="J86" s="42">
        <v>73.257000000000005</v>
      </c>
      <c r="K86" s="42">
        <v>81.17</v>
      </c>
      <c r="L86" s="42">
        <v>101.676463</v>
      </c>
    </row>
    <row r="87" spans="1:12" hidden="1" outlineLevel="1" x14ac:dyDescent="0.2">
      <c r="A87" s="61" t="s">
        <v>336</v>
      </c>
      <c r="B87" s="61"/>
      <c r="C87" s="42">
        <v>33.539000000000001</v>
      </c>
      <c r="D87" s="42">
        <v>29.617999999999999</v>
      </c>
      <c r="E87" s="42">
        <v>1337.7059999999999</v>
      </c>
      <c r="F87" s="42">
        <v>1452.1690000000001</v>
      </c>
      <c r="G87" s="42">
        <v>1216.635</v>
      </c>
      <c r="H87" s="42">
        <v>1081.605</v>
      </c>
      <c r="I87" s="42">
        <v>1058.76</v>
      </c>
      <c r="J87" s="42">
        <v>1006.799</v>
      </c>
      <c r="K87" s="42">
        <v>1033.8920000000001</v>
      </c>
      <c r="L87" s="42">
        <v>1041.8480300000001</v>
      </c>
    </row>
    <row r="88" spans="1:12" hidden="1" outlineLevel="1" x14ac:dyDescent="0.2">
      <c r="A88" s="61" t="s">
        <v>337</v>
      </c>
      <c r="B88" s="61"/>
      <c r="C88" s="42">
        <v>441.173</v>
      </c>
      <c r="D88" s="42">
        <v>343.63900000000001</v>
      </c>
      <c r="E88" s="42">
        <v>350.12400000000002</v>
      </c>
      <c r="F88" s="42">
        <v>368.1</v>
      </c>
      <c r="G88" s="42">
        <v>274.03699999999998</v>
      </c>
      <c r="H88" s="42">
        <v>224.31200000000001</v>
      </c>
      <c r="I88" s="42">
        <v>260.83199999999999</v>
      </c>
      <c r="J88" s="42">
        <v>243.93100000000001</v>
      </c>
      <c r="K88" s="42">
        <v>220.59800000000001</v>
      </c>
      <c r="L88" s="42">
        <v>180.557569</v>
      </c>
    </row>
    <row r="89" spans="1:12" hidden="1" outlineLevel="1" x14ac:dyDescent="0.2">
      <c r="A89" s="61" t="s">
        <v>80</v>
      </c>
      <c r="B89" s="61"/>
      <c r="C89" s="42">
        <v>3.3969999999999998</v>
      </c>
      <c r="D89" s="42">
        <v>2.6459999999999999</v>
      </c>
      <c r="E89" s="42">
        <v>2.66</v>
      </c>
      <c r="F89" s="42">
        <v>3.3740000000000001</v>
      </c>
      <c r="G89" s="42">
        <v>2.399</v>
      </c>
      <c r="H89" s="42">
        <v>2.0910000000000002</v>
      </c>
      <c r="I89" s="42">
        <v>12.555</v>
      </c>
      <c r="J89" s="42">
        <v>10.795</v>
      </c>
      <c r="K89" s="42">
        <v>11.512</v>
      </c>
      <c r="L89" s="42">
        <v>12.780031000000001</v>
      </c>
    </row>
    <row r="90" spans="1:12" hidden="1" outlineLevel="2" x14ac:dyDescent="0.2">
      <c r="A90" s="61" t="s">
        <v>253</v>
      </c>
      <c r="B90" s="61"/>
      <c r="C90" s="42">
        <v>0</v>
      </c>
      <c r="D90" s="42">
        <v>0</v>
      </c>
      <c r="E90" s="42">
        <v>0</v>
      </c>
      <c r="F90" s="42">
        <v>0</v>
      </c>
      <c r="G90" s="42">
        <v>54.963000000000001</v>
      </c>
      <c r="H90" s="42">
        <v>13.738</v>
      </c>
      <c r="I90" s="67">
        <v>10.327</v>
      </c>
      <c r="J90" s="67">
        <v>87.600999999999999</v>
      </c>
      <c r="K90" s="67">
        <v>3.5190000000000001</v>
      </c>
      <c r="L90" s="67">
        <v>0</v>
      </c>
    </row>
    <row r="91" spans="1:12" hidden="1" outlineLevel="2" x14ac:dyDescent="0.2">
      <c r="A91" s="61" t="s">
        <v>254</v>
      </c>
      <c r="B91" s="61"/>
      <c r="C91" s="42">
        <v>0</v>
      </c>
      <c r="D91" s="42">
        <v>0</v>
      </c>
      <c r="E91" s="42">
        <v>0</v>
      </c>
      <c r="F91" s="42">
        <v>0</v>
      </c>
      <c r="G91" s="42">
        <v>0</v>
      </c>
      <c r="H91" s="42">
        <v>2.3010000000000019</v>
      </c>
      <c r="I91" s="67">
        <v>0</v>
      </c>
      <c r="J91" s="67">
        <v>0</v>
      </c>
      <c r="K91" s="67">
        <v>0</v>
      </c>
      <c r="L91" s="67">
        <v>0</v>
      </c>
    </row>
    <row r="92" spans="1:12" hidden="1" outlineLevel="1" x14ac:dyDescent="0.2">
      <c r="A92" s="117" t="s">
        <v>71</v>
      </c>
      <c r="B92" s="117"/>
      <c r="C92" s="79">
        <f t="shared" ref="C92:H92" si="38">IFERROR(C90+C91,"n.a.")</f>
        <v>0</v>
      </c>
      <c r="D92" s="79">
        <f t="shared" si="38"/>
        <v>0</v>
      </c>
      <c r="E92" s="79">
        <f t="shared" si="38"/>
        <v>0</v>
      </c>
      <c r="F92" s="79">
        <f t="shared" si="38"/>
        <v>0</v>
      </c>
      <c r="G92" s="79">
        <f t="shared" si="38"/>
        <v>54.963000000000001</v>
      </c>
      <c r="H92" s="79">
        <f t="shared" si="38"/>
        <v>16.039000000000001</v>
      </c>
      <c r="I92" s="79">
        <f>IFERROR(I90+I91,"n.a.")</f>
        <v>10.327</v>
      </c>
      <c r="J92" s="79">
        <f>IFERROR(J90+J91,"n.a.")</f>
        <v>87.600999999999999</v>
      </c>
      <c r="K92" s="79">
        <f>IFERROR(K90+K91,"n.a.")</f>
        <v>3.5190000000000001</v>
      </c>
      <c r="L92" s="79">
        <f>IFERROR(L90+L91,"n.a.")</f>
        <v>0</v>
      </c>
    </row>
    <row r="93" spans="1:12" s="22" customFormat="1" collapsed="1" x14ac:dyDescent="0.2">
      <c r="A93" s="91" t="s">
        <v>5</v>
      </c>
      <c r="B93" s="91"/>
      <c r="C93" s="88">
        <f t="shared" ref="C93:L93" si="39">IFERROR(C84+C85+C86+C87+C88+C89+C92,"n.a.")</f>
        <v>2351.7569999999996</v>
      </c>
      <c r="D93" s="88">
        <f t="shared" si="39"/>
        <v>1755.6069999999997</v>
      </c>
      <c r="E93" s="88">
        <f t="shared" si="39"/>
        <v>7789.4469999999992</v>
      </c>
      <c r="F93" s="88">
        <f t="shared" si="39"/>
        <v>8028.0550000000003</v>
      </c>
      <c r="G93" s="88">
        <f t="shared" si="39"/>
        <v>5646.6820000000007</v>
      </c>
      <c r="H93" s="88">
        <f t="shared" si="39"/>
        <v>5474.7400000000007</v>
      </c>
      <c r="I93" s="88">
        <f t="shared" si="39"/>
        <v>5503.35</v>
      </c>
      <c r="J93" s="88">
        <f t="shared" si="39"/>
        <v>6470.6489999999985</v>
      </c>
      <c r="K93" s="88">
        <f t="shared" si="39"/>
        <v>5216.5450000000001</v>
      </c>
      <c r="L93" s="88">
        <f t="shared" si="39"/>
        <v>5101.5469579999999</v>
      </c>
    </row>
    <row r="94" spans="1:12" hidden="1" outlineLevel="1" x14ac:dyDescent="0.2">
      <c r="A94" s="61" t="s">
        <v>77</v>
      </c>
      <c r="B94" s="61"/>
      <c r="C94" s="42">
        <v>342.92700000000002</v>
      </c>
      <c r="D94" s="42">
        <v>963.62400000000002</v>
      </c>
      <c r="E94" s="42">
        <v>634.38099999999997</v>
      </c>
      <c r="F94" s="42">
        <v>642.04700000000003</v>
      </c>
      <c r="G94" s="42">
        <v>559.16800000000001</v>
      </c>
      <c r="H94" s="42">
        <v>800.14499999999998</v>
      </c>
      <c r="I94" s="42">
        <v>1419.403</v>
      </c>
      <c r="J94" s="42">
        <v>883.56700000000001</v>
      </c>
      <c r="K94" s="42">
        <v>1489.249</v>
      </c>
      <c r="L94" s="42">
        <v>800.38852500000007</v>
      </c>
    </row>
    <row r="95" spans="1:12" hidden="1" outlineLevel="1" x14ac:dyDescent="0.2">
      <c r="A95" s="61" t="s">
        <v>53</v>
      </c>
      <c r="B95" s="61"/>
      <c r="C95" s="42">
        <v>1242.607</v>
      </c>
      <c r="D95" s="42">
        <v>1172.577</v>
      </c>
      <c r="E95" s="42">
        <v>1280.4829999999999</v>
      </c>
      <c r="F95" s="42">
        <v>1498.492</v>
      </c>
      <c r="G95" s="42">
        <v>1673.6420000000001</v>
      </c>
      <c r="H95" s="42">
        <v>1604.6769999999999</v>
      </c>
      <c r="I95" s="42">
        <f>1611.488+109.6</f>
        <v>1721.088</v>
      </c>
      <c r="J95" s="42">
        <v>1316.971</v>
      </c>
      <c r="K95" s="42">
        <v>1626.367</v>
      </c>
      <c r="L95" s="42">
        <v>1973.296439</v>
      </c>
    </row>
    <row r="96" spans="1:12" hidden="1" outlineLevel="1" x14ac:dyDescent="0.2">
      <c r="A96" s="61" t="s">
        <v>236</v>
      </c>
      <c r="B96" s="61"/>
      <c r="C96" s="42">
        <v>0</v>
      </c>
      <c r="D96" s="42">
        <v>0</v>
      </c>
      <c r="E96" s="42">
        <v>0</v>
      </c>
      <c r="F96" s="42">
        <v>0</v>
      </c>
      <c r="G96" s="42">
        <v>0</v>
      </c>
      <c r="H96" s="42">
        <v>0</v>
      </c>
      <c r="I96" s="42">
        <v>0</v>
      </c>
      <c r="J96" s="42">
        <v>0</v>
      </c>
      <c r="K96" s="42">
        <v>0</v>
      </c>
      <c r="L96" s="42">
        <v>0</v>
      </c>
    </row>
    <row r="97" spans="1:12" hidden="1" outlineLevel="1" x14ac:dyDescent="0.2">
      <c r="A97" s="61" t="s">
        <v>78</v>
      </c>
      <c r="B97" s="61"/>
      <c r="C97" s="42">
        <v>296.178</v>
      </c>
      <c r="D97" s="42">
        <v>273.28199999999998</v>
      </c>
      <c r="E97" s="42">
        <v>491.70100000000002</v>
      </c>
      <c r="F97" s="42">
        <v>783.07899999999995</v>
      </c>
      <c r="G97" s="42">
        <v>565.255</v>
      </c>
      <c r="H97" s="42">
        <v>436.75200000000001</v>
      </c>
      <c r="I97" s="42">
        <f>402.757-109.6</f>
        <v>293.15700000000004</v>
      </c>
      <c r="J97" s="42">
        <v>325.26600000000002</v>
      </c>
      <c r="K97" s="42">
        <v>314.20299999999997</v>
      </c>
      <c r="L97" s="42">
        <v>405.57827400000104</v>
      </c>
    </row>
    <row r="98" spans="1:12" hidden="1" outlineLevel="1" x14ac:dyDescent="0.2">
      <c r="A98" s="61" t="s">
        <v>79</v>
      </c>
      <c r="B98" s="61"/>
      <c r="C98" s="42">
        <v>59.197000000000003</v>
      </c>
      <c r="D98" s="42">
        <v>53.398000000000003</v>
      </c>
      <c r="E98" s="42">
        <v>38.357999999999997</v>
      </c>
      <c r="F98" s="42">
        <v>45.987000000000002</v>
      </c>
      <c r="G98" s="42">
        <v>45.832999999999998</v>
      </c>
      <c r="H98" s="42">
        <v>33.875999999999998</v>
      </c>
      <c r="I98" s="42">
        <v>43.527999999999999</v>
      </c>
      <c r="J98" s="42">
        <v>48.082999999999998</v>
      </c>
      <c r="K98" s="42">
        <v>43.594000000000001</v>
      </c>
      <c r="L98" s="42">
        <v>41.250008000000001</v>
      </c>
    </row>
    <row r="99" spans="1:12" hidden="1" outlineLevel="1" x14ac:dyDescent="0.2">
      <c r="A99" s="61" t="s">
        <v>337</v>
      </c>
      <c r="B99" s="61"/>
      <c r="C99" s="42">
        <v>0</v>
      </c>
      <c r="D99" s="42">
        <v>0</v>
      </c>
      <c r="E99" s="42">
        <v>0</v>
      </c>
      <c r="F99" s="42">
        <v>0</v>
      </c>
      <c r="G99" s="42">
        <v>0</v>
      </c>
      <c r="H99" s="42">
        <v>5.4749999999999996</v>
      </c>
      <c r="I99" s="42">
        <v>4.1040000000000001</v>
      </c>
      <c r="J99" s="42">
        <v>5.0129999999999999</v>
      </c>
      <c r="K99" s="42">
        <v>0</v>
      </c>
      <c r="L99" s="42">
        <v>0</v>
      </c>
    </row>
    <row r="100" spans="1:12" hidden="1" outlineLevel="1" x14ac:dyDescent="0.2">
      <c r="A100" s="61" t="s">
        <v>80</v>
      </c>
      <c r="B100" s="61"/>
      <c r="C100" s="42">
        <v>80.081999999999994</v>
      </c>
      <c r="D100" s="42">
        <v>52.042000000000002</v>
      </c>
      <c r="E100" s="42">
        <v>18.218</v>
      </c>
      <c r="F100" s="42">
        <v>41.773000000000003</v>
      </c>
      <c r="G100" s="42">
        <v>48.415999999999997</v>
      </c>
      <c r="H100" s="42">
        <v>65.503</v>
      </c>
      <c r="I100" s="42">
        <v>81.766000000000005</v>
      </c>
      <c r="J100" s="42">
        <v>99.504999999999995</v>
      </c>
      <c r="K100" s="42">
        <v>134.38800000000001</v>
      </c>
      <c r="L100" s="42">
        <v>102.104495</v>
      </c>
    </row>
    <row r="101" spans="1:12" hidden="1" outlineLevel="2" x14ac:dyDescent="0.2">
      <c r="A101" s="89" t="s">
        <v>313</v>
      </c>
      <c r="B101" s="89"/>
      <c r="C101" s="42">
        <v>4.6420000000000003</v>
      </c>
      <c r="D101" s="42">
        <v>15.148999999999999</v>
      </c>
      <c r="E101" s="42">
        <v>35.414000000000001</v>
      </c>
      <c r="F101" s="42">
        <v>35.741999999999997</v>
      </c>
      <c r="G101" s="42">
        <v>11.247999999999999</v>
      </c>
      <c r="H101" s="42">
        <v>53.51</v>
      </c>
      <c r="I101" s="67">
        <v>31.702999999999999</v>
      </c>
      <c r="J101" s="67">
        <v>32.499000000000002</v>
      </c>
      <c r="K101" s="67">
        <v>10.331</v>
      </c>
      <c r="L101" s="67">
        <v>15.1</v>
      </c>
    </row>
    <row r="102" spans="1:12" hidden="1" outlineLevel="2" x14ac:dyDescent="0.2">
      <c r="A102" s="89" t="s">
        <v>312</v>
      </c>
      <c r="B102" s="89"/>
      <c r="C102" s="42">
        <v>31.808000000000003</v>
      </c>
      <c r="D102" s="42">
        <v>31.68</v>
      </c>
      <c r="E102" s="42">
        <v>16.841999999999999</v>
      </c>
      <c r="F102" s="42">
        <v>16.428000000000004</v>
      </c>
      <c r="G102" s="42">
        <v>6.6620000000000008</v>
      </c>
      <c r="H102" s="42">
        <v>6.0919999999999987</v>
      </c>
      <c r="I102" s="67">
        <v>9.7240000000000002</v>
      </c>
      <c r="J102" s="67">
        <v>5.1869999999999976</v>
      </c>
      <c r="K102" s="67">
        <v>5.8569999999999993</v>
      </c>
      <c r="L102" s="67">
        <v>4.5119999999999996</v>
      </c>
    </row>
    <row r="103" spans="1:12" hidden="1" outlineLevel="1" x14ac:dyDescent="0.2">
      <c r="A103" s="61" t="s">
        <v>71</v>
      </c>
      <c r="B103" s="61"/>
      <c r="C103" s="80">
        <f t="shared" ref="C103:H103" si="40">IFERROR(C101+C102,"n.a.")</f>
        <v>36.450000000000003</v>
      </c>
      <c r="D103" s="80">
        <f t="shared" si="40"/>
        <v>46.829000000000001</v>
      </c>
      <c r="E103" s="80">
        <f t="shared" si="40"/>
        <v>52.256</v>
      </c>
      <c r="F103" s="80">
        <f t="shared" si="40"/>
        <v>52.17</v>
      </c>
      <c r="G103" s="80">
        <f t="shared" si="40"/>
        <v>17.91</v>
      </c>
      <c r="H103" s="80">
        <f t="shared" si="40"/>
        <v>59.601999999999997</v>
      </c>
      <c r="I103" s="80">
        <f>IFERROR(I101+I102,"n.a.")</f>
        <v>41.427</v>
      </c>
      <c r="J103" s="80">
        <f>IFERROR(J101+J102,"n.a.")</f>
        <v>37.686</v>
      </c>
      <c r="K103" s="80">
        <f>IFERROR(K101+K102,"n.a.")</f>
        <v>16.187999999999999</v>
      </c>
      <c r="L103" s="80">
        <f>IFERROR(L101+L102,"n.a.")</f>
        <v>19.611999999999998</v>
      </c>
    </row>
    <row r="104" spans="1:12" s="22" customFormat="1" collapsed="1" x14ac:dyDescent="0.2">
      <c r="A104" s="91" t="s">
        <v>6</v>
      </c>
      <c r="B104" s="91"/>
      <c r="C104" s="88">
        <f t="shared" ref="C104:L104" si="41">IFERROR(C94+C95+C96+C97+C98+C99+C100+C103,"n.a.")</f>
        <v>2057.4409999999998</v>
      </c>
      <c r="D104" s="88">
        <f t="shared" si="41"/>
        <v>2561.7520000000004</v>
      </c>
      <c r="E104" s="88">
        <f t="shared" si="41"/>
        <v>2515.3969999999999</v>
      </c>
      <c r="F104" s="88">
        <f t="shared" si="41"/>
        <v>3063.5479999999998</v>
      </c>
      <c r="G104" s="88">
        <f t="shared" si="41"/>
        <v>2910.2240000000002</v>
      </c>
      <c r="H104" s="88">
        <f t="shared" si="41"/>
        <v>3006.03</v>
      </c>
      <c r="I104" s="88">
        <f t="shared" si="41"/>
        <v>3604.473</v>
      </c>
      <c r="J104" s="88">
        <f t="shared" si="41"/>
        <v>2716.0910000000003</v>
      </c>
      <c r="K104" s="88">
        <f t="shared" si="41"/>
        <v>3623.989</v>
      </c>
      <c r="L104" s="88">
        <f t="shared" si="41"/>
        <v>3342.229741000001</v>
      </c>
    </row>
    <row r="105" spans="1:12" hidden="1" outlineLevel="1" x14ac:dyDescent="0.2">
      <c r="A105" s="29" t="s">
        <v>7</v>
      </c>
      <c r="B105" s="29"/>
      <c r="C105" s="42">
        <v>12.644</v>
      </c>
      <c r="D105" s="42">
        <v>0</v>
      </c>
      <c r="E105" s="42">
        <v>0</v>
      </c>
      <c r="F105" s="42">
        <v>0</v>
      </c>
      <c r="G105" s="42">
        <v>0</v>
      </c>
      <c r="H105" s="42">
        <v>0</v>
      </c>
      <c r="I105" s="42">
        <v>0</v>
      </c>
      <c r="J105" s="42">
        <v>0</v>
      </c>
      <c r="K105" s="42">
        <v>0</v>
      </c>
      <c r="L105" s="42">
        <v>0</v>
      </c>
    </row>
    <row r="106" spans="1:12" s="22" customFormat="1" collapsed="1" x14ac:dyDescent="0.2">
      <c r="A106" s="99" t="s">
        <v>81</v>
      </c>
      <c r="B106" s="99"/>
      <c r="C106" s="100">
        <f t="shared" ref="C106:K106" si="42">IFERROR(C93+C104+C105,"n.a.")</f>
        <v>4421.8419999999996</v>
      </c>
      <c r="D106" s="100">
        <f t="shared" si="42"/>
        <v>4317.3590000000004</v>
      </c>
      <c r="E106" s="100">
        <f t="shared" si="42"/>
        <v>10304.843999999999</v>
      </c>
      <c r="F106" s="100">
        <f t="shared" si="42"/>
        <v>11091.602999999999</v>
      </c>
      <c r="G106" s="100">
        <f t="shared" si="42"/>
        <v>8556.9060000000009</v>
      </c>
      <c r="H106" s="100">
        <f t="shared" si="42"/>
        <v>8480.77</v>
      </c>
      <c r="I106" s="100">
        <f t="shared" si="42"/>
        <v>9107.8230000000003</v>
      </c>
      <c r="J106" s="100">
        <f t="shared" si="42"/>
        <v>9186.739999999998</v>
      </c>
      <c r="K106" s="100">
        <f t="shared" si="42"/>
        <v>8840.5339999999997</v>
      </c>
      <c r="L106" s="100">
        <f>IFERROR(L93+L104+L105-0.1,"n.a.")</f>
        <v>8443.6766990000015</v>
      </c>
    </row>
    <row r="107" spans="1:12" x14ac:dyDescent="0.2">
      <c r="C107" s="40"/>
      <c r="D107" s="40"/>
      <c r="E107" s="40"/>
      <c r="F107" s="40"/>
      <c r="G107" s="40"/>
      <c r="H107" s="40"/>
      <c r="I107" s="40"/>
      <c r="J107" s="40"/>
      <c r="K107" s="40"/>
      <c r="L107" s="40"/>
    </row>
    <row r="108" spans="1:12" hidden="1" outlineLevel="1" x14ac:dyDescent="0.2">
      <c r="A108" s="62" t="s">
        <v>73</v>
      </c>
      <c r="B108" s="62"/>
      <c r="C108" s="41">
        <v>1343.2850000000001</v>
      </c>
      <c r="D108" s="41">
        <v>1343.2850000000001</v>
      </c>
      <c r="E108" s="41">
        <v>1342.2809999999999</v>
      </c>
      <c r="F108" s="41">
        <v>1342.2809999999999</v>
      </c>
      <c r="G108" s="41">
        <v>1904.375</v>
      </c>
      <c r="H108" s="41">
        <v>1904.375</v>
      </c>
      <c r="I108" s="41">
        <v>1904.375</v>
      </c>
      <c r="J108" s="41">
        <v>1904.375</v>
      </c>
      <c r="K108" s="41">
        <v>1904.375</v>
      </c>
      <c r="L108" s="41">
        <v>1904.375</v>
      </c>
    </row>
    <row r="109" spans="1:12" hidden="1" outlineLevel="1" x14ac:dyDescent="0.2">
      <c r="A109" s="61" t="s">
        <v>74</v>
      </c>
      <c r="B109" s="61"/>
      <c r="C109" s="42">
        <v>226.691</v>
      </c>
      <c r="D109" s="42">
        <v>623.04300000000001</v>
      </c>
      <c r="E109" s="42">
        <v>1072.5509999999999</v>
      </c>
      <c r="F109" s="42">
        <v>1656.741</v>
      </c>
      <c r="G109" s="42">
        <v>2035.991</v>
      </c>
      <c r="H109" s="42">
        <v>2132.14</v>
      </c>
      <c r="I109" s="42">
        <v>2381.94</v>
      </c>
      <c r="J109" s="42">
        <v>2513.2620000000002</v>
      </c>
      <c r="K109" s="42">
        <v>2700.9409999999998</v>
      </c>
      <c r="L109" s="42">
        <v>3001.6591469999998</v>
      </c>
    </row>
    <row r="110" spans="1:12" hidden="1" outlineLevel="1" x14ac:dyDescent="0.2">
      <c r="A110" s="61" t="s">
        <v>20</v>
      </c>
      <c r="B110" s="61"/>
      <c r="C110" s="42">
        <v>226.964</v>
      </c>
      <c r="D110" s="42">
        <v>-383.745</v>
      </c>
      <c r="E110" s="42">
        <v>154.809</v>
      </c>
      <c r="F110" s="42">
        <v>135.06299999999999</v>
      </c>
      <c r="G110" s="42">
        <v>176.392</v>
      </c>
      <c r="H110" s="42">
        <v>431.60599999999999</v>
      </c>
      <c r="I110" s="42">
        <v>438.13400000000001</v>
      </c>
      <c r="J110" s="42">
        <v>29.780999999999999</v>
      </c>
      <c r="K110" s="42">
        <v>302.79599999999999</v>
      </c>
      <c r="L110" s="42">
        <v>417.759973</v>
      </c>
    </row>
    <row r="111" spans="1:12" s="22" customFormat="1" hidden="1" outlineLevel="1" x14ac:dyDescent="0.2">
      <c r="A111" s="29" t="s">
        <v>15</v>
      </c>
      <c r="B111" s="29"/>
      <c r="C111" s="51">
        <f t="shared" ref="C111:L111" si="43">IFERROR(C108+C109+C110,"n.a.")</f>
        <v>1796.94</v>
      </c>
      <c r="D111" s="51">
        <f t="shared" si="43"/>
        <v>1582.5830000000001</v>
      </c>
      <c r="E111" s="51">
        <f t="shared" si="43"/>
        <v>2569.6410000000001</v>
      </c>
      <c r="F111" s="51">
        <f t="shared" si="43"/>
        <v>3134.085</v>
      </c>
      <c r="G111" s="51">
        <f t="shared" si="43"/>
        <v>4116.7579999999998</v>
      </c>
      <c r="H111" s="51">
        <f t="shared" si="43"/>
        <v>4468.1210000000001</v>
      </c>
      <c r="I111" s="51">
        <f t="shared" si="43"/>
        <v>4724.4490000000005</v>
      </c>
      <c r="J111" s="51">
        <f t="shared" si="43"/>
        <v>4447.4180000000006</v>
      </c>
      <c r="K111" s="51">
        <f t="shared" si="43"/>
        <v>4908.1120000000001</v>
      </c>
      <c r="L111" s="51">
        <f t="shared" si="43"/>
        <v>5323.7941200000005</v>
      </c>
    </row>
    <row r="112" spans="1:12" hidden="1" outlineLevel="1" x14ac:dyDescent="0.2">
      <c r="A112" s="61" t="s">
        <v>74</v>
      </c>
      <c r="B112" s="61"/>
      <c r="C112" s="42">
        <v>42.787999999999997</v>
      </c>
      <c r="D112" s="42">
        <v>48.545000000000002</v>
      </c>
      <c r="E112" s="42">
        <v>54.543999999999997</v>
      </c>
      <c r="F112" s="42">
        <v>128.21100000000001</v>
      </c>
      <c r="G112" s="42">
        <v>60.936</v>
      </c>
      <c r="H112" s="42">
        <v>72.040000000000006</v>
      </c>
      <c r="I112" s="42">
        <v>82.619</v>
      </c>
      <c r="J112" s="42">
        <v>91.54</v>
      </c>
      <c r="K112" s="42">
        <v>115.73</v>
      </c>
      <c r="L112" s="42">
        <v>111.89399800000001</v>
      </c>
    </row>
    <row r="113" spans="1:12" hidden="1" outlineLevel="1" x14ac:dyDescent="0.2">
      <c r="A113" s="61" t="s">
        <v>20</v>
      </c>
      <c r="B113" s="61"/>
      <c r="C113" s="42">
        <v>10.769</v>
      </c>
      <c r="D113" s="42">
        <v>5.3019999999999996</v>
      </c>
      <c r="E113" s="42">
        <v>9.1780000000000008</v>
      </c>
      <c r="F113" s="42">
        <v>12.561999999999999</v>
      </c>
      <c r="G113" s="42">
        <v>-0.68500000000000005</v>
      </c>
      <c r="H113" s="42">
        <v>10.766</v>
      </c>
      <c r="I113" s="42">
        <v>19.562999999999999</v>
      </c>
      <c r="J113" s="42">
        <v>12.891999999999999</v>
      </c>
      <c r="K113" s="42">
        <v>18.797000000000001</v>
      </c>
      <c r="L113" s="42">
        <v>18.1402</v>
      </c>
    </row>
    <row r="114" spans="1:12" s="22" customFormat="1" hidden="1" outlineLevel="1" x14ac:dyDescent="0.2">
      <c r="A114" s="29" t="s">
        <v>16</v>
      </c>
      <c r="B114" s="29"/>
      <c r="C114" s="51">
        <f t="shared" ref="C114:L114" si="44">IFERROR(C112+C113,"n.a.")</f>
        <v>53.556999999999995</v>
      </c>
      <c r="D114" s="51">
        <f t="shared" si="44"/>
        <v>53.847000000000001</v>
      </c>
      <c r="E114" s="51">
        <f t="shared" si="44"/>
        <v>63.721999999999994</v>
      </c>
      <c r="F114" s="51">
        <f t="shared" si="44"/>
        <v>140.77300000000002</v>
      </c>
      <c r="G114" s="51">
        <f t="shared" si="44"/>
        <v>60.250999999999998</v>
      </c>
      <c r="H114" s="218">
        <f t="shared" si="44"/>
        <v>82.806000000000012</v>
      </c>
      <c r="I114" s="51">
        <f t="shared" si="44"/>
        <v>102.182</v>
      </c>
      <c r="J114" s="51">
        <f t="shared" si="44"/>
        <v>104.432</v>
      </c>
      <c r="K114" s="51">
        <f t="shared" si="44"/>
        <v>134.52700000000002</v>
      </c>
      <c r="L114" s="51">
        <f t="shared" si="44"/>
        <v>130.034198</v>
      </c>
    </row>
    <row r="115" spans="1:12" s="22" customFormat="1" collapsed="1" x14ac:dyDescent="0.2">
      <c r="A115" s="99" t="s">
        <v>4</v>
      </c>
      <c r="B115" s="99"/>
      <c r="C115" s="100">
        <f t="shared" ref="C115:L115" si="45">IFERROR(C111+C114,"n.a.")</f>
        <v>1850.4970000000001</v>
      </c>
      <c r="D115" s="100">
        <f t="shared" si="45"/>
        <v>1636.43</v>
      </c>
      <c r="E115" s="100">
        <f t="shared" si="45"/>
        <v>2633.3630000000003</v>
      </c>
      <c r="F115" s="100">
        <f t="shared" si="45"/>
        <v>3274.8580000000002</v>
      </c>
      <c r="G115" s="100">
        <f t="shared" si="45"/>
        <v>4177.009</v>
      </c>
      <c r="H115" s="100">
        <f t="shared" si="45"/>
        <v>4550.9269999999997</v>
      </c>
      <c r="I115" s="100">
        <f t="shared" si="45"/>
        <v>4826.6310000000003</v>
      </c>
      <c r="J115" s="100">
        <f t="shared" si="45"/>
        <v>4551.8500000000004</v>
      </c>
      <c r="K115" s="100">
        <f t="shared" si="45"/>
        <v>5042.6390000000001</v>
      </c>
      <c r="L115" s="100">
        <f t="shared" si="45"/>
        <v>5453.8283180000008</v>
      </c>
    </row>
    <row r="116" spans="1:12" x14ac:dyDescent="0.2">
      <c r="C116" s="40"/>
      <c r="D116" s="40"/>
      <c r="E116" s="40"/>
      <c r="F116" s="40"/>
      <c r="G116" s="40"/>
      <c r="H116" s="40"/>
      <c r="I116" s="40"/>
      <c r="J116" s="40"/>
      <c r="K116" s="40"/>
      <c r="L116" s="40"/>
    </row>
    <row r="117" spans="1:12" s="22" customFormat="1" x14ac:dyDescent="0.2">
      <c r="A117" s="99" t="s">
        <v>8</v>
      </c>
      <c r="B117" s="99"/>
      <c r="C117" s="100">
        <f t="shared" ref="C117:L117" si="46">IFERROR(C106+C115,"n.a.")</f>
        <v>6272.3389999999999</v>
      </c>
      <c r="D117" s="100">
        <f t="shared" si="46"/>
        <v>5953.7890000000007</v>
      </c>
      <c r="E117" s="100">
        <f t="shared" si="46"/>
        <v>12938.206999999999</v>
      </c>
      <c r="F117" s="100">
        <f t="shared" si="46"/>
        <v>14366.460999999999</v>
      </c>
      <c r="G117" s="100">
        <f t="shared" si="46"/>
        <v>12733.915000000001</v>
      </c>
      <c r="H117" s="100">
        <f t="shared" si="46"/>
        <v>13031.697</v>
      </c>
      <c r="I117" s="100">
        <f t="shared" si="46"/>
        <v>13934.454000000002</v>
      </c>
      <c r="J117" s="100">
        <f t="shared" si="46"/>
        <v>13738.589999999998</v>
      </c>
      <c r="K117" s="100">
        <f t="shared" si="46"/>
        <v>13883.172999999999</v>
      </c>
      <c r="L117" s="100">
        <f t="shared" si="46"/>
        <v>13897.505017000003</v>
      </c>
    </row>
    <row r="120" spans="1:12" x14ac:dyDescent="0.2">
      <c r="A120" s="259" t="s">
        <v>201</v>
      </c>
      <c r="B120" s="259"/>
      <c r="C120" s="259"/>
      <c r="D120" s="259"/>
      <c r="E120" s="259"/>
      <c r="F120" s="259"/>
      <c r="G120" s="259"/>
      <c r="H120" s="259"/>
      <c r="I120" s="259"/>
      <c r="J120" s="259"/>
      <c r="K120" s="259"/>
      <c r="L120" s="259"/>
    </row>
    <row r="121" spans="1:12" x14ac:dyDescent="0.2">
      <c r="A121" s="259" t="s">
        <v>202</v>
      </c>
      <c r="B121" s="259"/>
      <c r="C121" s="259"/>
      <c r="D121" s="259"/>
      <c r="E121" s="259"/>
      <c r="F121" s="259"/>
      <c r="G121" s="259"/>
      <c r="H121" s="259"/>
      <c r="I121" s="259"/>
      <c r="J121" s="259"/>
      <c r="K121" s="259"/>
      <c r="L121" s="259"/>
    </row>
    <row r="122" spans="1:12" x14ac:dyDescent="0.2">
      <c r="A122" s="259" t="s">
        <v>329</v>
      </c>
      <c r="B122" s="259"/>
      <c r="C122" s="259"/>
      <c r="D122" s="259"/>
      <c r="E122" s="259"/>
      <c r="F122" s="259"/>
      <c r="G122" s="259"/>
      <c r="H122" s="259"/>
      <c r="I122" s="259"/>
      <c r="J122" s="259"/>
      <c r="K122" s="259"/>
      <c r="L122" s="259"/>
    </row>
  </sheetData>
  <mergeCells count="3">
    <mergeCell ref="A120:L120"/>
    <mergeCell ref="A121:L121"/>
    <mergeCell ref="A122:L122"/>
  </mergeCells>
  <pageMargins left="0" right="0" top="0" bottom="0" header="0" footer="0"/>
  <pageSetup paperSize="9" scale="63"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pageSetUpPr fitToPage="1"/>
  </sheetPr>
  <dimension ref="A1:AG124"/>
  <sheetViews>
    <sheetView showGridLines="0" zoomScale="88" zoomScaleNormal="100" zoomScaleSheetLayoutView="100" workbookViewId="0">
      <pane xSplit="2" ySplit="6" topLeftCell="C7" activePane="bottomRight" state="frozen"/>
      <selection activeCell="L10" sqref="L10"/>
      <selection pane="topRight" activeCell="L10" sqref="L10"/>
      <selection pane="bottomLeft" activeCell="L10" sqref="L10"/>
      <selection pane="bottomRight"/>
    </sheetView>
  </sheetViews>
  <sheetFormatPr defaultColWidth="9" defaultRowHeight="12.75" outlineLevelRow="2" outlineLevelCol="1" x14ac:dyDescent="0.2"/>
  <cols>
    <col min="1" max="1" width="60.625" style="2" customWidth="1"/>
    <col min="2" max="2" width="4.625" style="2" customWidth="1"/>
    <col min="3" max="6" width="12.625" style="37" hidden="1" customWidth="1" outlineLevel="1"/>
    <col min="7" max="8" width="12.625" style="37" hidden="1" customWidth="1" outlineLevel="1" collapsed="1"/>
    <col min="9" max="10" width="12.625" style="37" hidden="1" customWidth="1" outlineLevel="1"/>
    <col min="11" max="12" width="12.625" style="37" hidden="1" customWidth="1" outlineLevel="1" collapsed="1"/>
    <col min="13" max="15" width="12.625" style="37" hidden="1" customWidth="1" outlineLevel="1"/>
    <col min="16" max="16" width="12.625" style="37" customWidth="1" collapsed="1"/>
    <col min="17" max="23" width="12.625" style="37" customWidth="1"/>
    <col min="24" max="24" width="12.625" style="37" customWidth="1" collapsed="1"/>
    <col min="25" max="27" width="12.625" style="37" customWidth="1"/>
    <col min="28" max="28" width="12.625" style="37" customWidth="1" collapsed="1"/>
    <col min="29" max="30" width="12.625" style="37" customWidth="1"/>
    <col min="31" max="16384" width="9" style="2"/>
  </cols>
  <sheetData>
    <row r="1" spans="1:30" s="8" customFormat="1" ht="27.75" customHeight="1" x14ac:dyDescent="0.2">
      <c r="A1" s="8" t="s">
        <v>195</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x14ac:dyDescent="0.2">
      <c r="A2" s="30" t="s">
        <v>190</v>
      </c>
      <c r="B2" s="10"/>
      <c r="AA2" s="2"/>
    </row>
    <row r="3" spans="1:30" x14ac:dyDescent="0.2">
      <c r="AC3" s="251"/>
    </row>
    <row r="4" spans="1:30" ht="13.5" thickBot="1" x14ac:dyDescent="0.25">
      <c r="A4" s="11" t="s">
        <v>120</v>
      </c>
      <c r="B4" s="11"/>
      <c r="C4" s="13" t="s">
        <v>26</v>
      </c>
      <c r="D4" s="13" t="s">
        <v>167</v>
      </c>
      <c r="E4" s="13" t="s">
        <v>165</v>
      </c>
      <c r="F4" s="13" t="s">
        <v>122</v>
      </c>
      <c r="G4" s="13" t="s">
        <v>161</v>
      </c>
      <c r="H4" s="13" t="s">
        <v>234</v>
      </c>
      <c r="I4" s="171" t="s">
        <v>248</v>
      </c>
      <c r="J4" s="171" t="s">
        <v>259</v>
      </c>
      <c r="K4" s="13" t="s">
        <v>261</v>
      </c>
      <c r="L4" s="13" t="s">
        <v>271</v>
      </c>
      <c r="M4" s="13" t="s">
        <v>297</v>
      </c>
      <c r="N4" s="171" t="s">
        <v>302</v>
      </c>
      <c r="O4" s="13" t="s">
        <v>303</v>
      </c>
      <c r="P4" s="13" t="s">
        <v>316</v>
      </c>
      <c r="Q4" s="13" t="s">
        <v>323</v>
      </c>
      <c r="R4" s="13" t="s">
        <v>326</v>
      </c>
      <c r="S4" s="13" t="s">
        <v>327</v>
      </c>
      <c r="T4" s="13" t="s">
        <v>354</v>
      </c>
      <c r="U4" s="13" t="s">
        <v>360</v>
      </c>
      <c r="V4" s="13" t="s">
        <v>364</v>
      </c>
      <c r="W4" s="13" t="s">
        <v>371</v>
      </c>
      <c r="X4" s="13" t="s">
        <v>372</v>
      </c>
      <c r="Y4" s="13" t="s">
        <v>379</v>
      </c>
      <c r="Z4" s="13" t="s">
        <v>382</v>
      </c>
      <c r="AA4" s="13" t="s">
        <v>383</v>
      </c>
      <c r="AB4" s="13" t="s">
        <v>386</v>
      </c>
      <c r="AC4" s="13" t="s">
        <v>388</v>
      </c>
      <c r="AD4" s="13" t="s">
        <v>392</v>
      </c>
    </row>
    <row r="5" spans="1:30" x14ac:dyDescent="0.2">
      <c r="C5" s="37" t="s">
        <v>189</v>
      </c>
      <c r="D5" s="37" t="s">
        <v>175</v>
      </c>
      <c r="E5" s="37" t="s">
        <v>176</v>
      </c>
      <c r="F5" s="37" t="s">
        <v>175</v>
      </c>
      <c r="G5" s="37" t="s">
        <v>175</v>
      </c>
      <c r="H5" s="37" t="s">
        <v>175</v>
      </c>
      <c r="I5" s="37" t="s">
        <v>175</v>
      </c>
      <c r="J5" s="37" t="s">
        <v>175</v>
      </c>
      <c r="K5" s="37" t="s">
        <v>175</v>
      </c>
      <c r="L5" s="37" t="s">
        <v>175</v>
      </c>
      <c r="M5" s="37" t="s">
        <v>175</v>
      </c>
      <c r="N5" s="37" t="s">
        <v>175</v>
      </c>
      <c r="O5" s="37" t="s">
        <v>175</v>
      </c>
      <c r="P5" s="37" t="s">
        <v>175</v>
      </c>
      <c r="Q5" s="37" t="s">
        <v>175</v>
      </c>
      <c r="R5" s="37" t="s">
        <v>175</v>
      </c>
      <c r="S5" s="37" t="s">
        <v>175</v>
      </c>
      <c r="T5" s="37" t="s">
        <v>175</v>
      </c>
      <c r="U5" s="37" t="s">
        <v>175</v>
      </c>
      <c r="V5" s="37" t="s">
        <v>175</v>
      </c>
      <c r="W5" s="37" t="s">
        <v>175</v>
      </c>
      <c r="X5" s="37" t="s">
        <v>175</v>
      </c>
      <c r="Y5" s="37" t="s">
        <v>175</v>
      </c>
      <c r="Z5" s="37" t="s">
        <v>175</v>
      </c>
      <c r="AA5" s="37" t="s">
        <v>175</v>
      </c>
      <c r="AB5" s="37" t="s">
        <v>175</v>
      </c>
      <c r="AC5" s="37" t="s">
        <v>175</v>
      </c>
      <c r="AD5" s="37" t="s">
        <v>175</v>
      </c>
    </row>
    <row r="7" spans="1:30" x14ac:dyDescent="0.2">
      <c r="A7" s="161" t="s">
        <v>199</v>
      </c>
      <c r="B7" s="92"/>
      <c r="C7" s="77">
        <f t="shared" ref="C7:J7" si="0">IFERROR(C76/C104,"n.a.")</f>
        <v>1.201397856341732</v>
      </c>
      <c r="D7" s="77">
        <f t="shared" si="0"/>
        <v>0.89929754642303839</v>
      </c>
      <c r="E7" s="77">
        <f t="shared" si="0"/>
        <v>1.3186902446984428</v>
      </c>
      <c r="F7" s="77">
        <f t="shared" si="0"/>
        <v>1.2771320369186663</v>
      </c>
      <c r="G7" s="77">
        <f t="shared" si="0"/>
        <v>1.102454312795166</v>
      </c>
      <c r="H7" s="77">
        <f t="shared" si="0"/>
        <v>1.1578342673505573</v>
      </c>
      <c r="I7" s="77">
        <f t="shared" si="0"/>
        <v>1.2069540366753986</v>
      </c>
      <c r="J7" s="77">
        <f t="shared" si="0"/>
        <v>1.3271509218642776</v>
      </c>
      <c r="K7" s="77">
        <f t="shared" ref="K7:AD7" si="1">IFERROR(K76/K104,"n.a.")</f>
        <v>1.2199282774955671</v>
      </c>
      <c r="L7" s="77">
        <f t="shared" si="1"/>
        <v>1.3262169579555705</v>
      </c>
      <c r="M7" s="77">
        <f t="shared" si="1"/>
        <v>1.072587700044656</v>
      </c>
      <c r="N7" s="77">
        <f t="shared" si="1"/>
        <v>1.1282571669967232</v>
      </c>
      <c r="O7" s="77">
        <f t="shared" si="1"/>
        <v>1.0879781871025251</v>
      </c>
      <c r="P7" s="77">
        <f t="shared" si="1"/>
        <v>1.233070275601255</v>
      </c>
      <c r="Q7" s="77">
        <f t="shared" si="1"/>
        <v>1.4488597756505777</v>
      </c>
      <c r="R7" s="77">
        <f t="shared" si="1"/>
        <v>1.3971792366063462</v>
      </c>
      <c r="S7" s="77">
        <f t="shared" si="1"/>
        <v>1.5775513412474029</v>
      </c>
      <c r="T7" s="77">
        <f t="shared" si="1"/>
        <v>1.5238790933261961</v>
      </c>
      <c r="U7" s="77">
        <f t="shared" si="1"/>
        <v>1.0492387189684349</v>
      </c>
      <c r="V7" s="77">
        <f t="shared" si="1"/>
        <v>1.0449445763643013</v>
      </c>
      <c r="W7" s="77">
        <f t="shared" si="1"/>
        <v>1.1823526506289064</v>
      </c>
      <c r="X7" s="77">
        <f t="shared" si="1"/>
        <v>1.2343393008365977</v>
      </c>
      <c r="Y7" s="77">
        <f t="shared" si="1"/>
        <v>1.1847854884407378</v>
      </c>
      <c r="Z7" s="77">
        <f t="shared" si="1"/>
        <v>1.2158838696918759</v>
      </c>
      <c r="AA7" s="77">
        <f t="shared" si="1"/>
        <v>1.3231694140441788</v>
      </c>
      <c r="AB7" s="77">
        <f t="shared" si="1"/>
        <v>1.2358394156695633</v>
      </c>
      <c r="AC7" s="77">
        <f t="shared" si="1"/>
        <v>1.1954889986623101</v>
      </c>
      <c r="AD7" s="77">
        <f t="shared" si="1"/>
        <v>1.4347910310728555</v>
      </c>
    </row>
    <row r="8" spans="1:30" x14ac:dyDescent="0.2">
      <c r="A8" s="162" t="s">
        <v>200</v>
      </c>
      <c r="B8" s="17"/>
      <c r="C8" s="80">
        <f t="shared" ref="C8:Q8" si="2">IFERROR((C76-C64)/C104,"n.a.")</f>
        <v>0.856817324226681</v>
      </c>
      <c r="D8" s="80">
        <f t="shared" si="2"/>
        <v>0.6257075010856209</v>
      </c>
      <c r="E8" s="80">
        <f t="shared" si="2"/>
        <v>0.8927252281121848</v>
      </c>
      <c r="F8" s="80">
        <f t="shared" si="2"/>
        <v>0.84508236984815155</v>
      </c>
      <c r="G8" s="80">
        <f t="shared" si="2"/>
        <v>0.77922558538449249</v>
      </c>
      <c r="H8" s="80">
        <f t="shared" si="2"/>
        <v>0.78572338842451872</v>
      </c>
      <c r="I8" s="80">
        <f t="shared" si="2"/>
        <v>0.80871741409114228</v>
      </c>
      <c r="J8" s="80">
        <f t="shared" si="2"/>
        <v>0.8852824821986065</v>
      </c>
      <c r="K8" s="80">
        <f t="shared" si="2"/>
        <v>0.84452749972555152</v>
      </c>
      <c r="L8" s="80">
        <f t="shared" si="2"/>
        <v>0.89738298067268307</v>
      </c>
      <c r="M8" s="80">
        <f t="shared" si="2"/>
        <v>0.70462743705979425</v>
      </c>
      <c r="N8" s="80">
        <f t="shared" si="2"/>
        <v>0.77588826311887216</v>
      </c>
      <c r="O8" s="80">
        <f t="shared" si="2"/>
        <v>0.78453466012923401</v>
      </c>
      <c r="P8" s="80">
        <f t="shared" si="2"/>
        <v>0.80655938111121739</v>
      </c>
      <c r="Q8" s="80">
        <f t="shared" si="2"/>
        <v>1.0667954112874065</v>
      </c>
      <c r="R8" s="80">
        <f t="shared" ref="R8:AD8" si="3">IFERROR((R76-R64)/R104,"n.a.")</f>
        <v>1.0678325864625564</v>
      </c>
      <c r="S8" s="80">
        <f t="shared" si="3"/>
        <v>1.2695951645213654</v>
      </c>
      <c r="T8" s="80">
        <f t="shared" si="3"/>
        <v>1.0822813799581357</v>
      </c>
      <c r="U8" s="80">
        <f t="shared" si="3"/>
        <v>0.73787928553222593</v>
      </c>
      <c r="V8" s="80">
        <f t="shared" si="3"/>
        <v>0.7387546576829086</v>
      </c>
      <c r="W8" s="80">
        <f t="shared" si="3"/>
        <v>0.88098253057611364</v>
      </c>
      <c r="X8" s="80">
        <f t="shared" si="3"/>
        <v>0.83159694580394172</v>
      </c>
      <c r="Y8" s="80">
        <f t="shared" si="3"/>
        <v>0.7637343164777779</v>
      </c>
      <c r="Z8" s="80">
        <f t="shared" si="3"/>
        <v>0.84462056848174139</v>
      </c>
      <c r="AA8" s="80">
        <f t="shared" si="3"/>
        <v>0.88702021786000196</v>
      </c>
      <c r="AB8" s="80">
        <f t="shared" si="3"/>
        <v>0.82695165821873062</v>
      </c>
      <c r="AC8" s="80">
        <f t="shared" si="3"/>
        <v>0.81417478342834071</v>
      </c>
      <c r="AD8" s="80">
        <f t="shared" si="3"/>
        <v>0.94028352587318609</v>
      </c>
    </row>
    <row r="9" spans="1:30" x14ac:dyDescent="0.2">
      <c r="A9" s="209" t="s">
        <v>290</v>
      </c>
      <c r="B9" s="83"/>
      <c r="C9" s="79">
        <f t="shared" ref="C9:K9" si="4">C36</f>
        <v>4912.831000000001</v>
      </c>
      <c r="D9" s="79">
        <f t="shared" si="4"/>
        <v>5525.2430000000004</v>
      </c>
      <c r="E9" s="79">
        <f t="shared" si="4"/>
        <v>4176.4740000000011</v>
      </c>
      <c r="F9" s="79">
        <f t="shared" si="4"/>
        <v>4287.67</v>
      </c>
      <c r="G9" s="79">
        <f t="shared" si="4"/>
        <v>3218.4949999999994</v>
      </c>
      <c r="H9" s="79">
        <f t="shared" si="4"/>
        <v>3938.8859999999995</v>
      </c>
      <c r="I9" s="79">
        <f t="shared" si="4"/>
        <v>3916.4589999999985</v>
      </c>
      <c r="J9" s="79">
        <f t="shared" si="4"/>
        <v>4038.2950000000005</v>
      </c>
      <c r="K9" s="79">
        <f t="shared" si="4"/>
        <v>3180.1300000000006</v>
      </c>
      <c r="L9" s="79">
        <f t="shared" ref="L9:S9" si="5">L40</f>
        <v>4387.3399999999992</v>
      </c>
      <c r="M9" s="79">
        <f t="shared" si="5"/>
        <v>4491.7800000000007</v>
      </c>
      <c r="N9" s="79">
        <f t="shared" si="5"/>
        <v>4480.1550000000007</v>
      </c>
      <c r="O9" s="79">
        <f t="shared" si="5"/>
        <v>3507.2249999999999</v>
      </c>
      <c r="P9" s="79">
        <f t="shared" si="5"/>
        <v>4260.7339999999995</v>
      </c>
      <c r="Q9" s="79">
        <f t="shared" si="5"/>
        <v>4264.68</v>
      </c>
      <c r="R9" s="79">
        <f t="shared" si="5"/>
        <v>4252.4809999999998</v>
      </c>
      <c r="S9" s="79">
        <f t="shared" si="5"/>
        <v>3258.375</v>
      </c>
      <c r="T9" s="79">
        <f t="shared" ref="T9:AD9" si="6">T40</f>
        <v>3911.9289999999996</v>
      </c>
      <c r="U9" s="79">
        <f t="shared" si="6"/>
        <v>3818.6759999999999</v>
      </c>
      <c r="V9" s="79">
        <f t="shared" si="6"/>
        <v>3714.8989999999999</v>
      </c>
      <c r="W9" s="79">
        <f t="shared" si="6"/>
        <v>2907.1159999999995</v>
      </c>
      <c r="X9" s="79">
        <f t="shared" si="6"/>
        <v>3580.0039999999999</v>
      </c>
      <c r="Y9" s="79">
        <f t="shared" si="6"/>
        <v>3530.741</v>
      </c>
      <c r="Z9" s="79">
        <f t="shared" si="6"/>
        <v>3390.0800000000013</v>
      </c>
      <c r="AA9" s="79">
        <f t="shared" si="6"/>
        <v>2552.6343339999999</v>
      </c>
      <c r="AB9" s="79">
        <f t="shared" si="6"/>
        <v>3243.9580000000001</v>
      </c>
      <c r="AC9" s="79">
        <f t="shared" si="6"/>
        <v>3087.4839999999999</v>
      </c>
      <c r="AD9" s="79">
        <f t="shared" si="6"/>
        <v>3138.0576570000003</v>
      </c>
    </row>
    <row r="12" spans="1:30" ht="13.5" thickBot="1" x14ac:dyDescent="0.25">
      <c r="A12" s="11" t="s">
        <v>373</v>
      </c>
      <c r="B12" s="11"/>
      <c r="C12" s="13" t="str">
        <f t="shared" ref="C12:P12" si="7">C4</f>
        <v>FY 2016</v>
      </c>
      <c r="D12" s="13" t="str">
        <f t="shared" si="7"/>
        <v>1Q 2017</v>
      </c>
      <c r="E12" s="13" t="str">
        <f t="shared" si="7"/>
        <v>1H 2017</v>
      </c>
      <c r="F12" s="13" t="str">
        <f t="shared" si="7"/>
        <v>9M 2017</v>
      </c>
      <c r="G12" s="13" t="str">
        <f t="shared" si="7"/>
        <v>FY 2017</v>
      </c>
      <c r="H12" s="13" t="str">
        <f t="shared" si="7"/>
        <v>1Q 2018</v>
      </c>
      <c r="I12" s="13" t="str">
        <f t="shared" si="7"/>
        <v>1H 2018</v>
      </c>
      <c r="J12" s="13" t="str">
        <f t="shared" si="7"/>
        <v>9M 2018</v>
      </c>
      <c r="K12" s="13" t="str">
        <f t="shared" si="7"/>
        <v>FY 2018</v>
      </c>
      <c r="L12" s="13" t="str">
        <f t="shared" si="7"/>
        <v>1Q 2019</v>
      </c>
      <c r="M12" s="13" t="str">
        <f t="shared" si="7"/>
        <v>1H 2019</v>
      </c>
      <c r="N12" s="13" t="str">
        <f t="shared" si="7"/>
        <v>9M 2019</v>
      </c>
      <c r="O12" s="13" t="str">
        <f t="shared" si="7"/>
        <v>FY 2019</v>
      </c>
      <c r="P12" s="13" t="str">
        <f t="shared" si="7"/>
        <v>1Q 2020</v>
      </c>
      <c r="Q12" s="13" t="str">
        <f t="shared" ref="Q12:AD12" si="8">Q4</f>
        <v>1H 2020</v>
      </c>
      <c r="R12" s="13" t="str">
        <f t="shared" si="8"/>
        <v>9M 2020</v>
      </c>
      <c r="S12" s="13" t="str">
        <f t="shared" si="8"/>
        <v>FY 2020</v>
      </c>
      <c r="T12" s="13" t="str">
        <f t="shared" si="8"/>
        <v>1Q 2021</v>
      </c>
      <c r="U12" s="13" t="str">
        <f t="shared" si="8"/>
        <v>1H 2021</v>
      </c>
      <c r="V12" s="13" t="str">
        <f t="shared" si="8"/>
        <v>9M 2021</v>
      </c>
      <c r="W12" s="13" t="str">
        <f t="shared" si="8"/>
        <v>FY 2021</v>
      </c>
      <c r="X12" s="13" t="str">
        <f t="shared" si="8"/>
        <v>1Q 2022</v>
      </c>
      <c r="Y12" s="13" t="str">
        <f t="shared" si="8"/>
        <v>1H 2022</v>
      </c>
      <c r="Z12" s="13" t="str">
        <f t="shared" si="8"/>
        <v>9M 2022</v>
      </c>
      <c r="AA12" s="13" t="str">
        <f t="shared" si="8"/>
        <v>FY 2022</v>
      </c>
      <c r="AB12" s="13" t="str">
        <f t="shared" si="8"/>
        <v>1Q 2023</v>
      </c>
      <c r="AC12" s="13" t="str">
        <f t="shared" si="8"/>
        <v>1H 2023</v>
      </c>
      <c r="AD12" s="13" t="str">
        <f t="shared" si="8"/>
        <v>9M 2023</v>
      </c>
    </row>
    <row r="13" spans="1:30" x14ac:dyDescent="0.2">
      <c r="B13" s="93"/>
      <c r="C13" s="37" t="str">
        <f t="shared" ref="C13:P13" si="9">C5</f>
        <v>restated</v>
      </c>
      <c r="D13" s="37" t="str">
        <f t="shared" si="9"/>
        <v>reported</v>
      </c>
      <c r="E13" s="37" t="str">
        <f t="shared" si="9"/>
        <v>carve-out</v>
      </c>
      <c r="F13" s="37" t="str">
        <f t="shared" si="9"/>
        <v>reported</v>
      </c>
      <c r="G13" s="37" t="str">
        <f t="shared" si="9"/>
        <v>reported</v>
      </c>
      <c r="H13" s="37" t="str">
        <f t="shared" si="9"/>
        <v>reported</v>
      </c>
      <c r="I13" s="37" t="str">
        <f t="shared" si="9"/>
        <v>reported</v>
      </c>
      <c r="J13" s="37" t="str">
        <f t="shared" si="9"/>
        <v>reported</v>
      </c>
      <c r="K13" s="37" t="str">
        <f t="shared" si="9"/>
        <v>reported</v>
      </c>
      <c r="L13" s="37" t="str">
        <f t="shared" si="9"/>
        <v>reported</v>
      </c>
      <c r="M13" s="37" t="str">
        <f t="shared" si="9"/>
        <v>reported</v>
      </c>
      <c r="N13" s="37" t="str">
        <f t="shared" si="9"/>
        <v>reported</v>
      </c>
      <c r="O13" s="37" t="str">
        <f t="shared" si="9"/>
        <v>reported</v>
      </c>
      <c r="P13" s="37" t="str">
        <f t="shared" si="9"/>
        <v>reported</v>
      </c>
      <c r="Q13" s="37" t="str">
        <f t="shared" ref="Q13:AD13" si="10">Q5</f>
        <v>reported</v>
      </c>
      <c r="R13" s="37" t="str">
        <f t="shared" si="10"/>
        <v>reported</v>
      </c>
      <c r="S13" s="37" t="str">
        <f t="shared" si="10"/>
        <v>reported</v>
      </c>
      <c r="T13" s="37" t="str">
        <f t="shared" si="10"/>
        <v>reported</v>
      </c>
      <c r="U13" s="37" t="str">
        <f t="shared" si="10"/>
        <v>reported</v>
      </c>
      <c r="V13" s="37" t="str">
        <f t="shared" si="10"/>
        <v>reported</v>
      </c>
      <c r="W13" s="37" t="str">
        <f t="shared" si="10"/>
        <v>reported</v>
      </c>
      <c r="X13" s="37" t="str">
        <f t="shared" si="10"/>
        <v>reported</v>
      </c>
      <c r="Y13" s="37" t="str">
        <f t="shared" si="10"/>
        <v>reported</v>
      </c>
      <c r="Z13" s="37" t="str">
        <f t="shared" si="10"/>
        <v>reported</v>
      </c>
      <c r="AA13" s="37" t="str">
        <f t="shared" si="10"/>
        <v>reported</v>
      </c>
      <c r="AB13" s="37" t="str">
        <f t="shared" si="10"/>
        <v>reported</v>
      </c>
      <c r="AC13" s="37" t="str">
        <f t="shared" si="10"/>
        <v>reported</v>
      </c>
      <c r="AD13" s="37" t="str">
        <f t="shared" si="10"/>
        <v>reported</v>
      </c>
    </row>
    <row r="14" spans="1:30" x14ac:dyDescent="0.2">
      <c r="B14" s="55"/>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row>
    <row r="15" spans="1:30" hidden="1" outlineLevel="2" x14ac:dyDescent="0.2">
      <c r="A15" s="29" t="s">
        <v>283</v>
      </c>
      <c r="B15" s="17"/>
      <c r="C15" s="51">
        <f t="shared" ref="C15:L15" si="11">IFERROR(C21-C17,C21)</f>
        <v>10299.225</v>
      </c>
      <c r="D15" s="51">
        <f t="shared" si="11"/>
        <v>9213.5789999999997</v>
      </c>
      <c r="E15" s="51">
        <f t="shared" si="11"/>
        <v>9131.4569999999985</v>
      </c>
      <c r="F15" s="51">
        <f t="shared" si="11"/>
        <v>9147.3639999999996</v>
      </c>
      <c r="G15" s="51">
        <f t="shared" si="11"/>
        <v>9120.9969999999994</v>
      </c>
      <c r="H15" s="51">
        <f t="shared" si="11"/>
        <v>8958.2100000000009</v>
      </c>
      <c r="I15" s="51">
        <f t="shared" si="11"/>
        <v>8881.2210000000014</v>
      </c>
      <c r="J15" s="51">
        <f t="shared" si="11"/>
        <v>8880.6368969658906</v>
      </c>
      <c r="K15" s="51">
        <f t="shared" si="11"/>
        <v>9017.7510000000002</v>
      </c>
      <c r="L15" s="51">
        <f t="shared" si="11"/>
        <v>9069.7619999999988</v>
      </c>
      <c r="M15" s="51">
        <f t="shared" ref="M15:T15" si="12">IFERROR(M21-M17,M21)</f>
        <v>9016.2900000000009</v>
      </c>
      <c r="N15" s="51">
        <f t="shared" si="12"/>
        <v>8972.9500000000007</v>
      </c>
      <c r="O15" s="51">
        <f t="shared" si="12"/>
        <v>9007.1790000000001</v>
      </c>
      <c r="P15" s="51">
        <f t="shared" si="12"/>
        <v>8724.1729999999989</v>
      </c>
      <c r="Q15" s="51">
        <f t="shared" si="12"/>
        <v>8618.3959999999988</v>
      </c>
      <c r="R15" s="51">
        <f t="shared" si="12"/>
        <v>8464.3850000000002</v>
      </c>
      <c r="S15" s="51">
        <f t="shared" si="12"/>
        <v>8423.0959999999995</v>
      </c>
      <c r="T15" s="51">
        <f t="shared" si="12"/>
        <v>8431.7379999999994</v>
      </c>
      <c r="U15" s="51">
        <f>IFERROR(U21-U17-0.01,U21)</f>
        <v>8445.6489999999994</v>
      </c>
      <c r="V15" s="51">
        <f t="shared" ref="V15:AD15" si="13">IFERROR(V21-V17,V21)</f>
        <v>8396.014000000001</v>
      </c>
      <c r="W15" s="51">
        <f t="shared" si="13"/>
        <v>8447.223</v>
      </c>
      <c r="X15" s="51">
        <f t="shared" si="13"/>
        <v>8454.7780000000002</v>
      </c>
      <c r="Y15" s="51">
        <f t="shared" si="13"/>
        <v>8548.744999999999</v>
      </c>
      <c r="Z15" s="51">
        <f t="shared" si="13"/>
        <v>8550.7999999999993</v>
      </c>
      <c r="AA15" s="51">
        <f t="shared" si="13"/>
        <v>8464.2633029999997</v>
      </c>
      <c r="AB15" s="51">
        <f t="shared" si="13"/>
        <v>8418.4410000000007</v>
      </c>
      <c r="AC15" s="51">
        <f t="shared" si="13"/>
        <v>8384.1850000000013</v>
      </c>
      <c r="AD15" s="51">
        <f t="shared" si="13"/>
        <v>8365.5002683426756</v>
      </c>
    </row>
    <row r="16" spans="1:30" hidden="1" outlineLevel="2" x14ac:dyDescent="0.2">
      <c r="A16" s="207" t="s">
        <v>287</v>
      </c>
      <c r="B16" s="33"/>
      <c r="C16" s="81">
        <f t="shared" ref="C16:T16" si="14">IFERROR(C18-C17,C18)</f>
        <v>3556.6350000000002</v>
      </c>
      <c r="D16" s="81">
        <f t="shared" si="14"/>
        <v>2980.0859999999998</v>
      </c>
      <c r="E16" s="81">
        <f t="shared" si="14"/>
        <v>2927.2</v>
      </c>
      <c r="F16" s="81">
        <f t="shared" si="14"/>
        <v>2968.2190000000001</v>
      </c>
      <c r="G16" s="81">
        <f t="shared" si="14"/>
        <v>2980.2939999999999</v>
      </c>
      <c r="H16" s="81">
        <f t="shared" si="14"/>
        <v>3004.1410000000001</v>
      </c>
      <c r="I16" s="81">
        <f t="shared" si="14"/>
        <v>2970.884</v>
      </c>
      <c r="J16" s="81">
        <f t="shared" si="14"/>
        <v>3001.4388969658894</v>
      </c>
      <c r="K16" s="81">
        <f t="shared" si="14"/>
        <v>3092.9270000000001</v>
      </c>
      <c r="L16" s="81">
        <f t="shared" si="14"/>
        <v>3148.6479999999997</v>
      </c>
      <c r="M16" s="81">
        <f t="shared" si="14"/>
        <v>3134.694</v>
      </c>
      <c r="N16" s="81">
        <f t="shared" si="14"/>
        <v>3129.4620000000004</v>
      </c>
      <c r="O16" s="81">
        <f t="shared" si="14"/>
        <v>3187.1910000000003</v>
      </c>
      <c r="P16" s="81">
        <f t="shared" si="14"/>
        <v>2958.4580000000001</v>
      </c>
      <c r="Q16" s="81">
        <f t="shared" si="14"/>
        <v>2860.4369999999999</v>
      </c>
      <c r="R16" s="81">
        <f t="shared" si="14"/>
        <v>2742.991</v>
      </c>
      <c r="S16" s="81">
        <f t="shared" si="14"/>
        <v>2725.7549999999997</v>
      </c>
      <c r="T16" s="81">
        <f t="shared" si="14"/>
        <v>2748.93</v>
      </c>
      <c r="U16" s="81">
        <f>IFERROR(U18-U17-0.02,U18)</f>
        <v>2782.442</v>
      </c>
      <c r="V16" s="81">
        <f t="shared" ref="V16:AD16" si="15">IFERROR(V18-V17,V18)</f>
        <v>2758.2370000000001</v>
      </c>
      <c r="W16" s="81">
        <f t="shared" si="15"/>
        <v>2823.7650000000003</v>
      </c>
      <c r="X16" s="81">
        <f t="shared" si="15"/>
        <v>2859.1040000000003</v>
      </c>
      <c r="Y16" s="81">
        <f t="shared" si="15"/>
        <v>2983.1859999999997</v>
      </c>
      <c r="Z16" s="81">
        <f t="shared" si="15"/>
        <v>3007.6</v>
      </c>
      <c r="AA16" s="81">
        <f t="shared" si="15"/>
        <v>2952.78</v>
      </c>
      <c r="AB16" s="81">
        <f t="shared" si="15"/>
        <v>2934.4290000000001</v>
      </c>
      <c r="AC16" s="81">
        <f t="shared" si="15"/>
        <v>2930</v>
      </c>
      <c r="AD16" s="81">
        <f t="shared" si="15"/>
        <v>2936.6500123426758</v>
      </c>
    </row>
    <row r="17" spans="1:30" hidden="1" outlineLevel="2" x14ac:dyDescent="0.2">
      <c r="A17" s="207" t="s">
        <v>282</v>
      </c>
      <c r="B17" s="33"/>
      <c r="C17" s="73" t="str">
        <f>'Balance Sheet - FY'!F17</f>
        <v>n.a.</v>
      </c>
      <c r="D17" s="85" t="s">
        <v>228</v>
      </c>
      <c r="E17" s="85" t="s">
        <v>228</v>
      </c>
      <c r="F17" s="85" t="s">
        <v>228</v>
      </c>
      <c r="G17" s="73" t="str">
        <f>'Balance Sheet - FY'!G17</f>
        <v>n.a.</v>
      </c>
      <c r="H17" s="85" t="s">
        <v>228</v>
      </c>
      <c r="I17" s="85" t="s">
        <v>228</v>
      </c>
      <c r="J17" s="85" t="s">
        <v>228</v>
      </c>
      <c r="K17" s="73" t="str">
        <f>'Balance Sheet - FY'!H17</f>
        <v>n.a.</v>
      </c>
      <c r="L17" s="85">
        <v>472.387</v>
      </c>
      <c r="M17" s="85">
        <v>458.9</v>
      </c>
      <c r="N17" s="85">
        <v>463.78</v>
      </c>
      <c r="O17" s="73">
        <f>'Balance Sheet - FY'!I17</f>
        <v>462.61799999999999</v>
      </c>
      <c r="P17" s="85">
        <v>450.7</v>
      </c>
      <c r="Q17" s="85">
        <v>449.32100000000003</v>
      </c>
      <c r="R17" s="85">
        <v>444.43200000000002</v>
      </c>
      <c r="S17" s="73">
        <f>'Balance Sheet - FY'!J17</f>
        <v>434.012</v>
      </c>
      <c r="T17" s="85">
        <v>438.9</v>
      </c>
      <c r="U17" s="85">
        <v>441.88299999999998</v>
      </c>
      <c r="V17" s="85">
        <v>426.505</v>
      </c>
      <c r="W17" s="73">
        <f>'Balance Sheet - FY'!K17</f>
        <v>465.149</v>
      </c>
      <c r="X17" s="85">
        <v>455.988</v>
      </c>
      <c r="Y17" s="85">
        <v>468.4</v>
      </c>
      <c r="Z17" s="85">
        <v>455.8</v>
      </c>
      <c r="AA17" s="73">
        <f>'Balance Sheet - FY'!L17</f>
        <v>446.84800000000001</v>
      </c>
      <c r="AB17" s="85">
        <v>436.428</v>
      </c>
      <c r="AC17" s="85">
        <v>437.52</v>
      </c>
      <c r="AD17" s="85">
        <v>439.13301565732399</v>
      </c>
    </row>
    <row r="18" spans="1:30" hidden="1" outlineLevel="1" x14ac:dyDescent="0.2">
      <c r="A18" s="62" t="s">
        <v>288</v>
      </c>
      <c r="B18" s="33"/>
      <c r="C18" s="81">
        <f t="shared" ref="C18:L18" si="16">C47</f>
        <v>3556.6350000000002</v>
      </c>
      <c r="D18" s="81">
        <f t="shared" si="16"/>
        <v>2980.0859999999998</v>
      </c>
      <c r="E18" s="81">
        <f t="shared" si="16"/>
        <v>2927.2</v>
      </c>
      <c r="F18" s="81">
        <f t="shared" si="16"/>
        <v>2968.2190000000001</v>
      </c>
      <c r="G18" s="81">
        <f t="shared" si="16"/>
        <v>2980.2939999999999</v>
      </c>
      <c r="H18" s="81">
        <f t="shared" si="16"/>
        <v>3004.1410000000001</v>
      </c>
      <c r="I18" s="81">
        <f t="shared" si="16"/>
        <v>2970.884</v>
      </c>
      <c r="J18" s="81">
        <f t="shared" si="16"/>
        <v>3001.4388969658894</v>
      </c>
      <c r="K18" s="81">
        <f t="shared" si="16"/>
        <v>3092.9270000000001</v>
      </c>
      <c r="L18" s="81">
        <f t="shared" si="16"/>
        <v>3621.0349999999999</v>
      </c>
      <c r="M18" s="81">
        <f t="shared" ref="M18:AD18" si="17">M47</f>
        <v>3593.5940000000001</v>
      </c>
      <c r="N18" s="81">
        <f t="shared" si="17"/>
        <v>3593.2420000000002</v>
      </c>
      <c r="O18" s="81">
        <f t="shared" si="17"/>
        <v>3649.8090000000002</v>
      </c>
      <c r="P18" s="81">
        <f t="shared" si="17"/>
        <v>3409.1579999999999</v>
      </c>
      <c r="Q18" s="81">
        <f t="shared" si="17"/>
        <v>3309.7579999999998</v>
      </c>
      <c r="R18" s="81">
        <f t="shared" si="17"/>
        <v>3187.4229999999998</v>
      </c>
      <c r="S18" s="81">
        <f t="shared" si="17"/>
        <v>3159.7669999999998</v>
      </c>
      <c r="T18" s="81">
        <f t="shared" si="17"/>
        <v>3187.83</v>
      </c>
      <c r="U18" s="81">
        <f t="shared" si="17"/>
        <v>3224.3449999999998</v>
      </c>
      <c r="V18" s="81">
        <f t="shared" si="17"/>
        <v>3184.7420000000002</v>
      </c>
      <c r="W18" s="81">
        <f t="shared" si="17"/>
        <v>3288.9140000000002</v>
      </c>
      <c r="X18" s="81">
        <f t="shared" si="17"/>
        <v>3315.0920000000001</v>
      </c>
      <c r="Y18" s="81">
        <f t="shared" si="17"/>
        <v>3451.5859999999998</v>
      </c>
      <c r="Z18" s="81">
        <f t="shared" si="17"/>
        <v>3463.4</v>
      </c>
      <c r="AA18" s="81">
        <f t="shared" si="17"/>
        <v>3399.6280000000002</v>
      </c>
      <c r="AB18" s="81">
        <f t="shared" si="17"/>
        <v>3370.857</v>
      </c>
      <c r="AC18" s="81">
        <f t="shared" si="17"/>
        <v>3367.52</v>
      </c>
      <c r="AD18" s="81">
        <f t="shared" si="17"/>
        <v>3375.7830279999998</v>
      </c>
    </row>
    <row r="19" spans="1:30" hidden="1" outlineLevel="1" x14ac:dyDescent="0.2">
      <c r="A19" s="61" t="s">
        <v>1</v>
      </c>
      <c r="B19" s="17"/>
      <c r="C19" s="79">
        <f t="shared" ref="C19:L19" si="18">C48</f>
        <v>6496.8890000000001</v>
      </c>
      <c r="D19" s="79">
        <f t="shared" si="18"/>
        <v>5968.5029999999997</v>
      </c>
      <c r="E19" s="79">
        <f t="shared" si="18"/>
        <v>5940.3819999999996</v>
      </c>
      <c r="F19" s="79">
        <f t="shared" si="18"/>
        <v>5910.33</v>
      </c>
      <c r="G19" s="79">
        <f t="shared" si="18"/>
        <v>5893.7039999999997</v>
      </c>
      <c r="H19" s="79">
        <f t="shared" si="18"/>
        <v>5862.2629999999999</v>
      </c>
      <c r="I19" s="79">
        <f t="shared" si="18"/>
        <v>5832.19</v>
      </c>
      <c r="J19" s="79">
        <f t="shared" si="18"/>
        <v>5803.2489999999998</v>
      </c>
      <c r="K19" s="79">
        <f t="shared" si="18"/>
        <v>5783.3379999999997</v>
      </c>
      <c r="L19" s="79">
        <f t="shared" si="18"/>
        <v>5753.3540000000003</v>
      </c>
      <c r="M19" s="79">
        <f t="shared" ref="M19:AD19" si="19">M48</f>
        <v>5725.6270000000004</v>
      </c>
      <c r="N19" s="79">
        <f t="shared" si="19"/>
        <v>5697.9229999999998</v>
      </c>
      <c r="O19" s="79">
        <f t="shared" si="19"/>
        <v>5680.1750000000002</v>
      </c>
      <c r="P19" s="79">
        <f t="shared" si="19"/>
        <v>5648.0069999999996</v>
      </c>
      <c r="Q19" s="79">
        <f t="shared" si="19"/>
        <v>5639.8109999999997</v>
      </c>
      <c r="R19" s="79">
        <f t="shared" si="19"/>
        <v>5609.0630000000001</v>
      </c>
      <c r="S19" s="79">
        <f t="shared" si="19"/>
        <v>5582.0330000000004</v>
      </c>
      <c r="T19" s="79">
        <f t="shared" si="19"/>
        <v>5557.4179999999997</v>
      </c>
      <c r="U19" s="79">
        <f t="shared" si="19"/>
        <v>5535.3850000000002</v>
      </c>
      <c r="V19" s="79">
        <f t="shared" si="19"/>
        <v>5508.1549999999997</v>
      </c>
      <c r="W19" s="79">
        <f t="shared" si="19"/>
        <v>5485.665</v>
      </c>
      <c r="X19" s="79">
        <f t="shared" si="19"/>
        <v>5460.2049999999999</v>
      </c>
      <c r="Y19" s="79">
        <f t="shared" si="19"/>
        <v>5435.4629999999997</v>
      </c>
      <c r="Z19" s="79">
        <f t="shared" si="19"/>
        <v>5411.4</v>
      </c>
      <c r="AA19" s="79">
        <f t="shared" si="19"/>
        <v>5382.8370000000004</v>
      </c>
      <c r="AB19" s="79">
        <f t="shared" si="19"/>
        <v>5350.4030000000002</v>
      </c>
      <c r="AC19" s="79">
        <f t="shared" si="19"/>
        <v>5318.6450000000004</v>
      </c>
      <c r="AD19" s="79">
        <f t="shared" si="19"/>
        <v>5288.592952</v>
      </c>
    </row>
    <row r="20" spans="1:30" hidden="1" outlineLevel="1" x14ac:dyDescent="0.2">
      <c r="A20" s="61" t="s">
        <v>49</v>
      </c>
      <c r="B20" s="17"/>
      <c r="C20" s="79">
        <f t="shared" ref="C20:L20" si="20">IFERROR(C50+C51+C52+C53,"n.a.")</f>
        <v>245.70099999999999</v>
      </c>
      <c r="D20" s="79">
        <f t="shared" si="20"/>
        <v>264.99</v>
      </c>
      <c r="E20" s="79">
        <f t="shared" si="20"/>
        <v>263.875</v>
      </c>
      <c r="F20" s="79">
        <f t="shared" si="20"/>
        <v>268.815</v>
      </c>
      <c r="G20" s="79">
        <f t="shared" si="20"/>
        <v>246.999</v>
      </c>
      <c r="H20" s="79">
        <f t="shared" si="20"/>
        <v>91.806000000000012</v>
      </c>
      <c r="I20" s="79">
        <f t="shared" si="20"/>
        <v>78.146999999999991</v>
      </c>
      <c r="J20" s="79">
        <f t="shared" si="20"/>
        <v>75.948999999999998</v>
      </c>
      <c r="K20" s="79">
        <f t="shared" si="20"/>
        <v>141.48599999999999</v>
      </c>
      <c r="L20" s="79">
        <f t="shared" si="20"/>
        <v>167.76</v>
      </c>
      <c r="M20" s="79">
        <f t="shared" ref="M20:AD20" si="21">IFERROR(M50+M51+M52+M53,"n.a.")</f>
        <v>155.96899999999999</v>
      </c>
      <c r="N20" s="79">
        <f t="shared" si="21"/>
        <v>145.565</v>
      </c>
      <c r="O20" s="79">
        <f t="shared" si="21"/>
        <v>139.81299999999999</v>
      </c>
      <c r="P20" s="79">
        <f t="shared" si="21"/>
        <v>117.708</v>
      </c>
      <c r="Q20" s="79">
        <f t="shared" si="21"/>
        <v>118.148</v>
      </c>
      <c r="R20" s="79">
        <f t="shared" si="21"/>
        <v>112.33099999999999</v>
      </c>
      <c r="S20" s="79">
        <f t="shared" si="21"/>
        <v>115.30799999999999</v>
      </c>
      <c r="T20" s="79">
        <f t="shared" si="21"/>
        <v>125.39</v>
      </c>
      <c r="U20" s="79">
        <f t="shared" si="21"/>
        <v>127.81200000000001</v>
      </c>
      <c r="V20" s="79">
        <f t="shared" si="21"/>
        <v>129.62199999999999</v>
      </c>
      <c r="W20" s="79">
        <f t="shared" si="21"/>
        <v>137.79300000000001</v>
      </c>
      <c r="X20" s="79">
        <f t="shared" si="21"/>
        <v>135.46899999999999</v>
      </c>
      <c r="Y20" s="79">
        <f t="shared" si="21"/>
        <v>130.096</v>
      </c>
      <c r="Z20" s="79">
        <f t="shared" si="21"/>
        <v>131.9</v>
      </c>
      <c r="AA20" s="79">
        <f t="shared" si="21"/>
        <v>128.64630299999999</v>
      </c>
      <c r="AB20" s="79">
        <f t="shared" si="21"/>
        <v>133.60899999999998</v>
      </c>
      <c r="AC20" s="79">
        <f t="shared" si="21"/>
        <v>135.54</v>
      </c>
      <c r="AD20" s="79">
        <f t="shared" si="21"/>
        <v>140.357304</v>
      </c>
    </row>
    <row r="21" spans="1:30" collapsed="1" x14ac:dyDescent="0.2">
      <c r="A21" s="29" t="s">
        <v>284</v>
      </c>
      <c r="B21" s="17"/>
      <c r="C21" s="51">
        <f t="shared" ref="C21:L21" si="22">IFERROR(C18+C19+C20,"n.a.")</f>
        <v>10299.225</v>
      </c>
      <c r="D21" s="51">
        <f t="shared" si="22"/>
        <v>9213.5789999999997</v>
      </c>
      <c r="E21" s="51">
        <f t="shared" si="22"/>
        <v>9131.4569999999985</v>
      </c>
      <c r="F21" s="51">
        <f t="shared" si="22"/>
        <v>9147.3639999999996</v>
      </c>
      <c r="G21" s="51">
        <f t="shared" si="22"/>
        <v>9120.9969999999994</v>
      </c>
      <c r="H21" s="51">
        <f t="shared" si="22"/>
        <v>8958.2100000000009</v>
      </c>
      <c r="I21" s="51">
        <f t="shared" si="22"/>
        <v>8881.2210000000014</v>
      </c>
      <c r="J21" s="51">
        <f t="shared" si="22"/>
        <v>8880.6368969658906</v>
      </c>
      <c r="K21" s="51">
        <f t="shared" si="22"/>
        <v>9017.7510000000002</v>
      </c>
      <c r="L21" s="51">
        <f t="shared" si="22"/>
        <v>9542.1489999999994</v>
      </c>
      <c r="M21" s="51">
        <f t="shared" ref="M21:Y21" si="23">IFERROR(M18+M19+M20,"n.a.")</f>
        <v>9475.19</v>
      </c>
      <c r="N21" s="51">
        <f t="shared" si="23"/>
        <v>9436.7300000000014</v>
      </c>
      <c r="O21" s="51">
        <f t="shared" si="23"/>
        <v>9469.7970000000005</v>
      </c>
      <c r="P21" s="51">
        <f t="shared" si="23"/>
        <v>9174.8729999999996</v>
      </c>
      <c r="Q21" s="51">
        <f t="shared" si="23"/>
        <v>9067.7169999999987</v>
      </c>
      <c r="R21" s="51">
        <f t="shared" si="23"/>
        <v>8908.8170000000009</v>
      </c>
      <c r="S21" s="51">
        <f t="shared" si="23"/>
        <v>8857.1080000000002</v>
      </c>
      <c r="T21" s="51">
        <f t="shared" si="23"/>
        <v>8870.637999999999</v>
      </c>
      <c r="U21" s="51">
        <f t="shared" si="23"/>
        <v>8887.5419999999995</v>
      </c>
      <c r="V21" s="51">
        <f t="shared" si="23"/>
        <v>8822.5190000000002</v>
      </c>
      <c r="W21" s="51">
        <f t="shared" si="23"/>
        <v>8912.3719999999994</v>
      </c>
      <c r="X21" s="51">
        <f t="shared" si="23"/>
        <v>8910.7659999999996</v>
      </c>
      <c r="Y21" s="51">
        <f t="shared" si="23"/>
        <v>9017.1449999999986</v>
      </c>
      <c r="Z21" s="51">
        <f>IFERROR(Z18+Z19+Z20-0.1,"n.a.")</f>
        <v>9006.5999999999985</v>
      </c>
      <c r="AA21" s="51">
        <f>IFERROR(AA18+AA19+AA20,"n.a.")</f>
        <v>8911.1113029999997</v>
      </c>
      <c r="AB21" s="51">
        <f>IFERROR(AB18+AB19+AB20,"n.a.")</f>
        <v>8854.8690000000006</v>
      </c>
      <c r="AC21" s="51">
        <f>IFERROR(AC18+AC19+AC20,"n.a.")</f>
        <v>8821.7050000000017</v>
      </c>
      <c r="AD21" s="51">
        <f>IFERROR(AD18+AD19+AD20-0.1,"n.a.")</f>
        <v>8804.6332839999995</v>
      </c>
    </row>
    <row r="22" spans="1:30" hidden="1" outlineLevel="2" x14ac:dyDescent="0.2">
      <c r="A22" s="89" t="s">
        <v>51</v>
      </c>
      <c r="B22" s="17"/>
      <c r="C22" s="80">
        <f t="shared" ref="C22:K23" si="24">C64</f>
        <v>1055.6389999999999</v>
      </c>
      <c r="D22" s="80">
        <f t="shared" si="24"/>
        <v>925.51599999999996</v>
      </c>
      <c r="E22" s="80">
        <f t="shared" si="24"/>
        <v>937.12900000000002</v>
      </c>
      <c r="F22" s="80">
        <f t="shared" si="24"/>
        <v>969.26800000000003</v>
      </c>
      <c r="G22" s="80">
        <f t="shared" si="24"/>
        <v>940.66800000000001</v>
      </c>
      <c r="H22" s="80">
        <f t="shared" si="24"/>
        <v>940.22</v>
      </c>
      <c r="I22" s="80">
        <f t="shared" si="24"/>
        <v>983.25099999999998</v>
      </c>
      <c r="J22" s="80">
        <f t="shared" si="24"/>
        <v>1048.921</v>
      </c>
      <c r="K22" s="80">
        <f t="shared" si="24"/>
        <v>1128.4659999999999</v>
      </c>
      <c r="L22" s="80">
        <f t="shared" ref="L22:U22" si="25">L64</f>
        <v>1165.5119999999999</v>
      </c>
      <c r="M22" s="80">
        <f t="shared" si="25"/>
        <v>1165.116</v>
      </c>
      <c r="N22" s="80">
        <f t="shared" si="25"/>
        <v>1103.5440000000001</v>
      </c>
      <c r="O22" s="80">
        <f t="shared" si="25"/>
        <v>1093.7539999999999</v>
      </c>
      <c r="P22" s="80">
        <f t="shared" si="25"/>
        <v>1137.383</v>
      </c>
      <c r="Q22" s="80">
        <f t="shared" si="25"/>
        <v>961.50699999999995</v>
      </c>
      <c r="R22" s="80">
        <f t="shared" si="25"/>
        <v>824.68499999999995</v>
      </c>
      <c r="S22" s="80">
        <f t="shared" si="25"/>
        <v>836.43700000000001</v>
      </c>
      <c r="T22" s="80">
        <f t="shared" si="25"/>
        <v>874.45399999999995</v>
      </c>
      <c r="U22" s="80">
        <f t="shared" si="25"/>
        <v>956.49400000000003</v>
      </c>
      <c r="V22" s="80">
        <f>IFERROR(V64+0.002,"n.a.")</f>
        <v>973.67399999999998</v>
      </c>
      <c r="W22" s="80">
        <f t="shared" ref="W22:Y23" si="26">W64</f>
        <v>1092.162</v>
      </c>
      <c r="X22" s="80">
        <f t="shared" si="26"/>
        <v>1221.758</v>
      </c>
      <c r="Y22" s="80">
        <f t="shared" si="26"/>
        <v>1396.788</v>
      </c>
      <c r="Z22" s="80">
        <f>IFERROR(Z64+0.002,"n.a.")</f>
        <v>1464.335</v>
      </c>
      <c r="AA22" s="80">
        <f t="shared" ref="AA22:AC23" si="27">AA64</f>
        <v>1457.7108149999999</v>
      </c>
      <c r="AB22" s="80">
        <f t="shared" si="27"/>
        <v>1458.4</v>
      </c>
      <c r="AC22" s="80">
        <f t="shared" si="27"/>
        <v>1418.7149999999999</v>
      </c>
      <c r="AD22" s="80">
        <f>IFERROR(AD64+0.002,"n.a.")</f>
        <v>1376.2803529999999</v>
      </c>
    </row>
    <row r="23" spans="1:30" hidden="1" outlineLevel="2" x14ac:dyDescent="0.2">
      <c r="A23" s="89" t="s">
        <v>52</v>
      </c>
      <c r="B23" s="17"/>
      <c r="C23" s="80">
        <f t="shared" si="24"/>
        <v>679.32100000000003</v>
      </c>
      <c r="D23" s="80">
        <f t="shared" si="24"/>
        <v>1044.807</v>
      </c>
      <c r="E23" s="80">
        <f t="shared" si="24"/>
        <v>968.36400000000003</v>
      </c>
      <c r="F23" s="80">
        <f t="shared" si="24"/>
        <v>1037.415</v>
      </c>
      <c r="G23" s="80">
        <f t="shared" si="24"/>
        <v>652.48699999999997</v>
      </c>
      <c r="H23" s="80">
        <f t="shared" si="24"/>
        <v>875.88499999999999</v>
      </c>
      <c r="I23" s="80">
        <f t="shared" si="24"/>
        <v>864.43499999999995</v>
      </c>
      <c r="J23" s="80">
        <f t="shared" si="24"/>
        <v>967.745</v>
      </c>
      <c r="K23" s="80">
        <f t="shared" si="24"/>
        <v>627.96799999999996</v>
      </c>
      <c r="L23" s="80">
        <f t="shared" ref="L23:U23" si="28">L65</f>
        <v>858.44200000000001</v>
      </c>
      <c r="M23" s="80">
        <f t="shared" si="28"/>
        <v>862.12</v>
      </c>
      <c r="N23" s="80">
        <f t="shared" si="28"/>
        <v>976.17700000000002</v>
      </c>
      <c r="O23" s="80">
        <f t="shared" si="28"/>
        <v>649.39400000000001</v>
      </c>
      <c r="P23" s="80">
        <f t="shared" si="28"/>
        <v>658.67100000000005</v>
      </c>
      <c r="Q23" s="80">
        <f t="shared" si="28"/>
        <v>627.89200000000005</v>
      </c>
      <c r="R23" s="80">
        <f t="shared" si="28"/>
        <v>949.07</v>
      </c>
      <c r="S23" s="80">
        <f t="shared" si="28"/>
        <v>597.66899999999998</v>
      </c>
      <c r="T23" s="80">
        <f t="shared" si="28"/>
        <v>814.09699999999998</v>
      </c>
      <c r="U23" s="80">
        <f t="shared" si="28"/>
        <v>802.47199999999998</v>
      </c>
      <c r="V23" s="80">
        <f>IFERROR(V65+0.003,"n.a.")</f>
        <v>939.37900000000002</v>
      </c>
      <c r="W23" s="80">
        <f t="shared" si="26"/>
        <v>659.20899999999995</v>
      </c>
      <c r="X23" s="80">
        <f t="shared" si="26"/>
        <v>908.04600000000005</v>
      </c>
      <c r="Y23" s="80">
        <f t="shared" si="26"/>
        <v>936.35599999999999</v>
      </c>
      <c r="Z23" s="80">
        <f>IFERROR(Z65+0.003,"n.a.")</f>
        <v>1169.047</v>
      </c>
      <c r="AA23" s="80">
        <f t="shared" si="27"/>
        <v>636.45100000000002</v>
      </c>
      <c r="AB23" s="80">
        <f t="shared" si="27"/>
        <v>928.5</v>
      </c>
      <c r="AC23" s="80">
        <f t="shared" si="27"/>
        <v>895.101</v>
      </c>
      <c r="AD23" s="80">
        <f>IFERROR(AD65+0.003,"n.a.")</f>
        <v>1092.7297369999999</v>
      </c>
    </row>
    <row r="24" spans="1:30" hidden="1" outlineLevel="2" x14ac:dyDescent="0.2">
      <c r="A24" s="89" t="s">
        <v>53</v>
      </c>
      <c r="B24" s="17"/>
      <c r="C24" s="80">
        <f t="shared" ref="C24:K24" si="29">IFERROR(-C95,"n.a.")</f>
        <v>-1498.492</v>
      </c>
      <c r="D24" s="80">
        <f t="shared" si="29"/>
        <v>-1062.2349999999999</v>
      </c>
      <c r="E24" s="80">
        <f t="shared" si="29"/>
        <v>-1139.7940000000001</v>
      </c>
      <c r="F24" s="80">
        <f t="shared" si="29"/>
        <v>-1066.8789999999999</v>
      </c>
      <c r="G24" s="80">
        <f t="shared" si="29"/>
        <v>-1673.6420000000001</v>
      </c>
      <c r="H24" s="80">
        <f t="shared" si="29"/>
        <v>-1062.45</v>
      </c>
      <c r="I24" s="80">
        <f t="shared" si="29"/>
        <v>-1052.184</v>
      </c>
      <c r="J24" s="80">
        <f t="shared" si="29"/>
        <v>-1004.992</v>
      </c>
      <c r="K24" s="80">
        <f t="shared" si="29"/>
        <v>-1604.6769999999999</v>
      </c>
      <c r="L24" s="80">
        <f t="shared" ref="L24:U24" si="30">IFERROR(-L95,"n.a.")</f>
        <v>-1222.838</v>
      </c>
      <c r="M24" s="80">
        <f t="shared" si="30"/>
        <v>-1273.7440000000001</v>
      </c>
      <c r="N24" s="80">
        <f t="shared" si="30"/>
        <v>-1201.576</v>
      </c>
      <c r="O24" s="80">
        <f t="shared" si="30"/>
        <v>-1721.088</v>
      </c>
      <c r="P24" s="80">
        <f t="shared" si="30"/>
        <v>-1021.136</v>
      </c>
      <c r="Q24" s="80">
        <f t="shared" si="30"/>
        <v>-905.32299999999998</v>
      </c>
      <c r="R24" s="80">
        <f t="shared" si="30"/>
        <v>-841.01099999999997</v>
      </c>
      <c r="S24" s="80">
        <f t="shared" si="30"/>
        <v>-1316.971</v>
      </c>
      <c r="T24" s="80">
        <f t="shared" si="30"/>
        <v>-914.17000000000007</v>
      </c>
      <c r="U24" s="80">
        <f t="shared" si="30"/>
        <v>-1046.7339999999999</v>
      </c>
      <c r="V24" s="80">
        <f>IFERROR(-V95+0.002,"n.a.")</f>
        <v>-1092.1030000000001</v>
      </c>
      <c r="W24" s="80">
        <f>IFERROR(-W95,"n.a.")</f>
        <v>-1626.367</v>
      </c>
      <c r="X24" s="80">
        <f>IFERROR(-X95,"n.a.")</f>
        <v>-1196.771</v>
      </c>
      <c r="Y24" s="80">
        <f>IFERROR(-Y95,"n.a.")</f>
        <v>-1454.164</v>
      </c>
      <c r="Z24" s="80">
        <f>IFERROR(-Z95+0.002,"n.a.")</f>
        <v>-1625.268</v>
      </c>
      <c r="AA24" s="80">
        <f>IFERROR(-AA95,"n.a.")</f>
        <v>-1973.296439</v>
      </c>
      <c r="AB24" s="80">
        <f>IFERROR(-AB95,"n.a.")</f>
        <v>-1367.84</v>
      </c>
      <c r="AC24" s="80">
        <f>IFERROR(-AC95,"n.a.")</f>
        <v>-1405.095</v>
      </c>
      <c r="AD24" s="80">
        <f>IFERROR(-AD95,"n.a.")</f>
        <v>-1484.3230209999999</v>
      </c>
    </row>
    <row r="25" spans="1:30" hidden="1" outlineLevel="1" x14ac:dyDescent="0.2">
      <c r="A25" s="61" t="s">
        <v>50</v>
      </c>
      <c r="B25" s="17"/>
      <c r="C25" s="51">
        <f t="shared" ref="C25:K25" si="31">IFERROR(C22+C23+C24,"n.a.")</f>
        <v>236.46800000000007</v>
      </c>
      <c r="D25" s="51">
        <f t="shared" si="31"/>
        <v>908.08799999999997</v>
      </c>
      <c r="E25" s="51">
        <f t="shared" si="31"/>
        <v>765.69899999999984</v>
      </c>
      <c r="F25" s="51">
        <f t="shared" si="31"/>
        <v>939.80400000000009</v>
      </c>
      <c r="G25" s="51">
        <f t="shared" si="31"/>
        <v>-80.48700000000008</v>
      </c>
      <c r="H25" s="51">
        <f t="shared" si="31"/>
        <v>753.65499999999997</v>
      </c>
      <c r="I25" s="51">
        <f t="shared" si="31"/>
        <v>795.50199999999995</v>
      </c>
      <c r="J25" s="51">
        <f t="shared" si="31"/>
        <v>1011.6740000000002</v>
      </c>
      <c r="K25" s="51">
        <f t="shared" si="31"/>
        <v>151.75699999999983</v>
      </c>
      <c r="L25" s="51">
        <f t="shared" ref="L25:T25" si="32">IFERROR(L22+L23+L24,"n.a.")</f>
        <v>801.11599999999999</v>
      </c>
      <c r="M25" s="51">
        <f t="shared" si="32"/>
        <v>753.49199999999973</v>
      </c>
      <c r="N25" s="51">
        <f t="shared" si="32"/>
        <v>878.14499999999998</v>
      </c>
      <c r="O25" s="51">
        <f t="shared" si="32"/>
        <v>22.059999999999945</v>
      </c>
      <c r="P25" s="51">
        <f t="shared" si="32"/>
        <v>774.91800000000012</v>
      </c>
      <c r="Q25" s="51">
        <f t="shared" si="32"/>
        <v>684.07599999999991</v>
      </c>
      <c r="R25" s="51">
        <f t="shared" si="32"/>
        <v>932.74400000000014</v>
      </c>
      <c r="S25" s="51">
        <f t="shared" si="32"/>
        <v>117.13499999999999</v>
      </c>
      <c r="T25" s="51">
        <f t="shared" si="32"/>
        <v>774.38099999999986</v>
      </c>
      <c r="U25" s="51">
        <f>IFERROR(U22+U23+U24+0.02,"n.a.")</f>
        <v>712.25199999999995</v>
      </c>
      <c r="V25" s="51">
        <f>IFERROR(V22+V23+V24,"n.a.")</f>
        <v>820.94999999999982</v>
      </c>
      <c r="W25" s="51">
        <f>IFERROR(W22+W23+W24,"n.a.")</f>
        <v>125.00400000000013</v>
      </c>
      <c r="X25" s="51">
        <f>IFERROR(X22+X23+X24,"n.a.")</f>
        <v>933.03300000000013</v>
      </c>
      <c r="Y25" s="51">
        <f>IFERROR(Y22+Y23+Y24,"n.a.")</f>
        <v>878.98000000000025</v>
      </c>
      <c r="Z25" s="51">
        <f>IFERROR(Z22+Z23+Z24-0.1,"n.a.")</f>
        <v>1008.014</v>
      </c>
      <c r="AA25" s="51">
        <f>IFERROR(AA22+AA23+AA24,"n.a.")</f>
        <v>120.86537599999997</v>
      </c>
      <c r="AB25" s="51">
        <f>IFERROR(AB22+AB23+AB24,"n.a.")</f>
        <v>1019.0600000000002</v>
      </c>
      <c r="AC25" s="51">
        <f>IFERROR(AC22+AC23+AC24,"n.a.")</f>
        <v>908.72099999999978</v>
      </c>
      <c r="AD25" s="51">
        <f>IFERROR(AD22+AD23+AD24,"n.a.")</f>
        <v>984.68706899999984</v>
      </c>
    </row>
    <row r="26" spans="1:30" hidden="1" outlineLevel="1" x14ac:dyDescent="0.2">
      <c r="A26" s="61" t="s">
        <v>54</v>
      </c>
      <c r="B26" s="17"/>
      <c r="C26" s="79">
        <f t="shared" ref="C26:Q26" si="33">IFERROR(C56+C58+C60+C67+C72+C74-C85-C89-C91-C96-C97-C100-C102,"n.a.")</f>
        <v>-458.71999999999997</v>
      </c>
      <c r="D26" s="79">
        <f t="shared" si="33"/>
        <v>42.48100000000008</v>
      </c>
      <c r="E26" s="79">
        <f t="shared" si="33"/>
        <v>31.345000000000066</v>
      </c>
      <c r="F26" s="79">
        <f t="shared" si="33"/>
        <v>-47.239999999999995</v>
      </c>
      <c r="G26" s="79">
        <f t="shared" si="33"/>
        <v>-153.68900000000005</v>
      </c>
      <c r="H26" s="79">
        <f t="shared" si="33"/>
        <v>-14.944999999999883</v>
      </c>
      <c r="I26" s="79">
        <f t="shared" si="33"/>
        <v>28.118000000000048</v>
      </c>
      <c r="J26" s="79">
        <f t="shared" si="33"/>
        <v>26.441999999999943</v>
      </c>
      <c r="K26" s="79">
        <f t="shared" si="33"/>
        <v>-39.651000000000039</v>
      </c>
      <c r="L26" s="79">
        <f t="shared" si="33"/>
        <v>154.374</v>
      </c>
      <c r="M26" s="79">
        <f t="shared" si="33"/>
        <v>316.99</v>
      </c>
      <c r="N26" s="79">
        <f t="shared" si="33"/>
        <v>285.48000000000008</v>
      </c>
      <c r="O26" s="79">
        <f t="shared" si="33"/>
        <v>190.67499999999995</v>
      </c>
      <c r="P26" s="79">
        <f t="shared" si="33"/>
        <v>223.27999999999997</v>
      </c>
      <c r="Q26" s="79">
        <f t="shared" si="33"/>
        <v>191.88200000000001</v>
      </c>
      <c r="R26" s="79">
        <f t="shared" ref="R26:X26" si="34">IFERROR(R56+R58+R60+R67+R72+R74-R85-R89-R91-R96-R97-R100-R102,"n.a.")</f>
        <v>83.451000000000164</v>
      </c>
      <c r="S26" s="79">
        <f t="shared" si="34"/>
        <v>23.265000000000114</v>
      </c>
      <c r="T26" s="79">
        <f t="shared" si="34"/>
        <v>54.232999999999919</v>
      </c>
      <c r="U26" s="79">
        <f t="shared" si="34"/>
        <v>48.287000000000049</v>
      </c>
      <c r="V26" s="79">
        <f t="shared" si="34"/>
        <v>18.743000000000087</v>
      </c>
      <c r="W26" s="79">
        <f t="shared" si="34"/>
        <v>0.78500000000002501</v>
      </c>
      <c r="X26" s="79">
        <f t="shared" si="34"/>
        <v>111.21499999999997</v>
      </c>
      <c r="Y26" s="79">
        <f>IFERROR(Y56+Y58+Y60+Y67+Y72+Y74-Y85-Y89-Y91-Y96-Y97-Y100-Y102-0.1,"n.a.")</f>
        <v>100.16323800000004</v>
      </c>
      <c r="Z26" s="79">
        <f>IFERROR(Z56+Z58+Z60+Z67+Z72+Z74-Z85-Z89-Z91-Z96-Z97-Z100-Z102-0.1,"n.a.")</f>
        <v>69.77</v>
      </c>
      <c r="AA26" s="79">
        <f>IFERROR(AA56+AA58+AA60+AA67+AA72+AA74-AA85-AA89-AA91-AA96-AA97-AA100-AA102,"n.a.")</f>
        <v>42.312348999998946</v>
      </c>
      <c r="AB26" s="79">
        <f>IFERROR(AB56+AB58+AB60+AB67+AB72+AB74-AB85-AB89-AB91-AB96-AB97-AB100-AB102-0.1,"n.a.")</f>
        <v>5.1819999999999933</v>
      </c>
      <c r="AC26" s="79">
        <f>IFERROR(AC56+AC58+AC60+AC67+AC72+AC74-AC85-AC89-AC91-AC96-AC97-AC100-AC102+0.045,"n.a.")</f>
        <v>-101.70800000000013</v>
      </c>
      <c r="AD26" s="79">
        <f>IFERROR(AD56+AD58+AD60+AD67+AD72+AD74-AD85-AD89-AD91-AD96-AD97-AD100-AD102,"n.a.")</f>
        <v>57.865125000000425</v>
      </c>
    </row>
    <row r="27" spans="1:30" collapsed="1" x14ac:dyDescent="0.2">
      <c r="A27" s="29" t="s">
        <v>55</v>
      </c>
      <c r="B27" s="17"/>
      <c r="C27" s="51">
        <f t="shared" ref="C27:K27" si="35">IFERROR(C25+C26,"n.a.")</f>
        <v>-222.2519999999999</v>
      </c>
      <c r="D27" s="51">
        <f t="shared" si="35"/>
        <v>950.56900000000007</v>
      </c>
      <c r="E27" s="51">
        <f t="shared" si="35"/>
        <v>797.04399999999987</v>
      </c>
      <c r="F27" s="51">
        <f t="shared" si="35"/>
        <v>892.56400000000008</v>
      </c>
      <c r="G27" s="51">
        <f t="shared" si="35"/>
        <v>-234.17600000000013</v>
      </c>
      <c r="H27" s="51">
        <f t="shared" si="35"/>
        <v>738.71</v>
      </c>
      <c r="I27" s="51">
        <f t="shared" si="35"/>
        <v>823.62</v>
      </c>
      <c r="J27" s="51">
        <f t="shared" si="35"/>
        <v>1038.1160000000002</v>
      </c>
      <c r="K27" s="51">
        <f t="shared" si="35"/>
        <v>112.1059999999998</v>
      </c>
      <c r="L27" s="51">
        <f t="shared" ref="L27:T27" si="36">IFERROR(L25+L26,"n.a.")</f>
        <v>955.49</v>
      </c>
      <c r="M27" s="51">
        <f t="shared" si="36"/>
        <v>1070.4819999999997</v>
      </c>
      <c r="N27" s="51">
        <f t="shared" si="36"/>
        <v>1163.625</v>
      </c>
      <c r="O27" s="51">
        <f t="shared" si="36"/>
        <v>212.7349999999999</v>
      </c>
      <c r="P27" s="51">
        <f t="shared" si="36"/>
        <v>998.19800000000009</v>
      </c>
      <c r="Q27" s="51">
        <f t="shared" si="36"/>
        <v>875.95799999999986</v>
      </c>
      <c r="R27" s="51">
        <f t="shared" si="36"/>
        <v>1016.1950000000003</v>
      </c>
      <c r="S27" s="51">
        <f t="shared" si="36"/>
        <v>140.40000000000009</v>
      </c>
      <c r="T27" s="51">
        <f t="shared" si="36"/>
        <v>828.61399999999981</v>
      </c>
      <c r="U27" s="51">
        <f>IFERROR(U25+U26+0.02,"n.a.")</f>
        <v>760.55899999999997</v>
      </c>
      <c r="V27" s="51">
        <f t="shared" ref="V27:AA27" si="37">IFERROR(V25+V26,"n.a.")</f>
        <v>839.69299999999987</v>
      </c>
      <c r="W27" s="51">
        <f t="shared" si="37"/>
        <v>125.78900000000016</v>
      </c>
      <c r="X27" s="51">
        <f t="shared" si="37"/>
        <v>1044.248</v>
      </c>
      <c r="Y27" s="121">
        <f t="shared" si="37"/>
        <v>979.14323800000034</v>
      </c>
      <c r="Z27" s="121">
        <f t="shared" si="37"/>
        <v>1077.7840000000001</v>
      </c>
      <c r="AA27" s="51">
        <f t="shared" si="37"/>
        <v>163.17772499999893</v>
      </c>
      <c r="AB27" s="51">
        <f>IFERROR(AB25+AB26,"n.a.")+0.1</f>
        <v>1024.3420000000001</v>
      </c>
      <c r="AC27" s="121">
        <f>IFERROR(AC25+AC26,"n.a.")</f>
        <v>807.01299999999969</v>
      </c>
      <c r="AD27" s="121">
        <f>IFERROR(AD25+AD26,"n.a.")</f>
        <v>1042.5521940000003</v>
      </c>
    </row>
    <row r="28" spans="1:30" hidden="1" outlineLevel="2" x14ac:dyDescent="0.2">
      <c r="A28" s="90" t="s">
        <v>139</v>
      </c>
      <c r="B28" s="17"/>
      <c r="C28" s="84">
        <f t="shared" ref="C28:K28" si="38">IFERROR(C21+C27,"n.a.")</f>
        <v>10076.973</v>
      </c>
      <c r="D28" s="84">
        <f t="shared" si="38"/>
        <v>10164.147999999999</v>
      </c>
      <c r="E28" s="84">
        <f t="shared" si="38"/>
        <v>9928.5009999999984</v>
      </c>
      <c r="F28" s="84">
        <f t="shared" si="38"/>
        <v>10039.928</v>
      </c>
      <c r="G28" s="84">
        <f t="shared" si="38"/>
        <v>8886.8209999999999</v>
      </c>
      <c r="H28" s="84">
        <f t="shared" si="38"/>
        <v>9696.9200000000019</v>
      </c>
      <c r="I28" s="84">
        <f t="shared" si="38"/>
        <v>9704.8410000000022</v>
      </c>
      <c r="J28" s="84">
        <f t="shared" si="38"/>
        <v>9918.7528969658906</v>
      </c>
      <c r="K28" s="84">
        <f t="shared" si="38"/>
        <v>9129.857</v>
      </c>
      <c r="L28" s="84">
        <f t="shared" ref="L28:AD28" si="39">IFERROR(L21+L27,"n.a.")</f>
        <v>10497.638999999999</v>
      </c>
      <c r="M28" s="84">
        <f t="shared" si="39"/>
        <v>10545.672</v>
      </c>
      <c r="N28" s="84">
        <f t="shared" si="39"/>
        <v>10600.355000000001</v>
      </c>
      <c r="O28" s="84">
        <f t="shared" si="39"/>
        <v>9682.5320000000011</v>
      </c>
      <c r="P28" s="84">
        <f t="shared" si="39"/>
        <v>10173.071</v>
      </c>
      <c r="Q28" s="84">
        <f t="shared" si="39"/>
        <v>9943.6749999999993</v>
      </c>
      <c r="R28" s="84">
        <f t="shared" si="39"/>
        <v>9925.0120000000006</v>
      </c>
      <c r="S28" s="84">
        <f t="shared" si="39"/>
        <v>8997.5079999999998</v>
      </c>
      <c r="T28" s="84">
        <f t="shared" si="39"/>
        <v>9699.2519999999986</v>
      </c>
      <c r="U28" s="84">
        <f t="shared" si="39"/>
        <v>9648.1009999999987</v>
      </c>
      <c r="V28" s="84">
        <f t="shared" si="39"/>
        <v>9662.2119999999995</v>
      </c>
      <c r="W28" s="84">
        <f t="shared" si="39"/>
        <v>9038.1610000000001</v>
      </c>
      <c r="X28" s="84">
        <f t="shared" si="39"/>
        <v>9955.0139999999992</v>
      </c>
      <c r="Y28" s="84">
        <f t="shared" si="39"/>
        <v>9996.2882379999992</v>
      </c>
      <c r="Z28" s="84">
        <f t="shared" si="39"/>
        <v>10084.383999999998</v>
      </c>
      <c r="AA28" s="84">
        <f t="shared" si="39"/>
        <v>9074.2890279999992</v>
      </c>
      <c r="AB28" s="84">
        <f t="shared" si="39"/>
        <v>9879.2110000000011</v>
      </c>
      <c r="AC28" s="84">
        <f t="shared" si="39"/>
        <v>9628.7180000000008</v>
      </c>
      <c r="AD28" s="84">
        <f t="shared" si="39"/>
        <v>9847.1854779999994</v>
      </c>
    </row>
    <row r="29" spans="1:30" hidden="1" outlineLevel="2" x14ac:dyDescent="0.2">
      <c r="A29" s="90" t="s">
        <v>134</v>
      </c>
      <c r="B29" s="17"/>
      <c r="C29" s="79">
        <f t="shared" ref="C29:J29" si="40">IFERROR(C77-C105,"n.a.")</f>
        <v>0</v>
      </c>
      <c r="D29" s="79">
        <f t="shared" si="40"/>
        <v>78.363</v>
      </c>
      <c r="E29" s="79">
        <f t="shared" si="40"/>
        <v>0</v>
      </c>
      <c r="F29" s="79">
        <f t="shared" si="40"/>
        <v>-1.4230000000000018</v>
      </c>
      <c r="G29" s="79">
        <f t="shared" si="40"/>
        <v>60.728999999999999</v>
      </c>
      <c r="H29" s="79">
        <f t="shared" si="40"/>
        <v>51.256999999999998</v>
      </c>
      <c r="I29" s="79">
        <f t="shared" si="40"/>
        <v>38.610999999999997</v>
      </c>
      <c r="J29" s="79">
        <f t="shared" si="40"/>
        <v>11.433999999999999</v>
      </c>
      <c r="K29" s="79">
        <f>IFERROR(K77-K105,"n.a.")</f>
        <v>10.677</v>
      </c>
      <c r="L29" s="79">
        <f>IFERROR(L77-L105,"n.a.")</f>
        <v>0.79600000000000004</v>
      </c>
      <c r="M29" s="79">
        <f>IFERROR(M77-M105,"n.a.")</f>
        <v>0.8</v>
      </c>
      <c r="N29" s="79">
        <f>IFERROR(N77-N105,"n.a.")</f>
        <v>0.8</v>
      </c>
      <c r="O29" s="79">
        <f t="shared" ref="O29:T29" si="41">IFERROR(O77-O105,"n.a.")</f>
        <v>0</v>
      </c>
      <c r="P29" s="79">
        <f t="shared" si="41"/>
        <v>0</v>
      </c>
      <c r="Q29" s="79">
        <f t="shared" si="41"/>
        <v>0</v>
      </c>
      <c r="R29" s="79">
        <f t="shared" si="41"/>
        <v>0</v>
      </c>
      <c r="S29" s="79">
        <f t="shared" si="41"/>
        <v>0</v>
      </c>
      <c r="T29" s="79">
        <f t="shared" si="41"/>
        <v>0</v>
      </c>
      <c r="U29" s="79">
        <f t="shared" ref="U29:AD29" si="42">IFERROR(U77-U105,"n.a.")</f>
        <v>0</v>
      </c>
      <c r="V29" s="79">
        <f t="shared" si="42"/>
        <v>0</v>
      </c>
      <c r="W29" s="79">
        <f t="shared" si="42"/>
        <v>0</v>
      </c>
      <c r="X29" s="79">
        <f t="shared" si="42"/>
        <v>0</v>
      </c>
      <c r="Y29" s="79">
        <f t="shared" si="42"/>
        <v>0</v>
      </c>
      <c r="Z29" s="79">
        <f t="shared" si="42"/>
        <v>0</v>
      </c>
      <c r="AA29" s="79">
        <f t="shared" si="42"/>
        <v>0</v>
      </c>
      <c r="AB29" s="79">
        <f t="shared" si="42"/>
        <v>0</v>
      </c>
      <c r="AC29" s="79">
        <f t="shared" si="42"/>
        <v>0</v>
      </c>
      <c r="AD29" s="79">
        <f t="shared" si="42"/>
        <v>0</v>
      </c>
    </row>
    <row r="30" spans="1:30" s="22" customFormat="1" collapsed="1" x14ac:dyDescent="0.2">
      <c r="A30" s="107" t="s">
        <v>56</v>
      </c>
      <c r="B30" s="99"/>
      <c r="C30" s="100">
        <f t="shared" ref="C30:I30" si="43">SUM(C29,C28)</f>
        <v>10076.973</v>
      </c>
      <c r="D30" s="100">
        <f t="shared" si="43"/>
        <v>10242.510999999999</v>
      </c>
      <c r="E30" s="100">
        <f t="shared" si="43"/>
        <v>9928.5009999999984</v>
      </c>
      <c r="F30" s="100">
        <f t="shared" si="43"/>
        <v>10038.504999999999</v>
      </c>
      <c r="G30" s="100">
        <f t="shared" si="43"/>
        <v>8947.5499999999993</v>
      </c>
      <c r="H30" s="100">
        <f t="shared" si="43"/>
        <v>9748.1770000000015</v>
      </c>
      <c r="I30" s="100">
        <f t="shared" si="43"/>
        <v>9743.452000000003</v>
      </c>
      <c r="J30" s="108">
        <f t="shared" ref="J30:O30" si="44">IFERROR(J28+J29,"n.a.")</f>
        <v>9930.1868969658899</v>
      </c>
      <c r="K30" s="108">
        <f t="shared" si="44"/>
        <v>9140.5339999999997</v>
      </c>
      <c r="L30" s="100">
        <f t="shared" si="44"/>
        <v>10498.434999999999</v>
      </c>
      <c r="M30" s="100">
        <f t="shared" si="44"/>
        <v>10546.472</v>
      </c>
      <c r="N30" s="108">
        <f t="shared" si="44"/>
        <v>10601.155000000001</v>
      </c>
      <c r="O30" s="108">
        <f t="shared" si="44"/>
        <v>9682.5320000000011</v>
      </c>
      <c r="P30" s="100">
        <f t="shared" ref="P30:AD30" si="45">IFERROR(P28+P29,"n.a.")</f>
        <v>10173.071</v>
      </c>
      <c r="Q30" s="100">
        <f t="shared" si="45"/>
        <v>9943.6749999999993</v>
      </c>
      <c r="R30" s="100">
        <f t="shared" si="45"/>
        <v>9925.0120000000006</v>
      </c>
      <c r="S30" s="108">
        <f t="shared" si="45"/>
        <v>8997.5079999999998</v>
      </c>
      <c r="T30" s="100">
        <f t="shared" si="45"/>
        <v>9699.2519999999986</v>
      </c>
      <c r="U30" s="100">
        <f t="shared" si="45"/>
        <v>9648.1009999999987</v>
      </c>
      <c r="V30" s="100">
        <f t="shared" si="45"/>
        <v>9662.2119999999995</v>
      </c>
      <c r="W30" s="108">
        <f t="shared" si="45"/>
        <v>9038.1610000000001</v>
      </c>
      <c r="X30" s="100">
        <f t="shared" si="45"/>
        <v>9955.0139999999992</v>
      </c>
      <c r="Y30" s="100">
        <f t="shared" si="45"/>
        <v>9996.2882379999992</v>
      </c>
      <c r="Z30" s="100">
        <f t="shared" si="45"/>
        <v>10084.383999999998</v>
      </c>
      <c r="AA30" s="108">
        <f t="shared" si="45"/>
        <v>9074.2890279999992</v>
      </c>
      <c r="AB30" s="100">
        <f t="shared" si="45"/>
        <v>9879.2110000000011</v>
      </c>
      <c r="AC30" s="100">
        <f t="shared" si="45"/>
        <v>9628.7180000000008</v>
      </c>
      <c r="AD30" s="100">
        <f t="shared" si="45"/>
        <v>9847.1854779999994</v>
      </c>
    </row>
    <row r="31" spans="1:30" x14ac:dyDescent="0.2">
      <c r="A31" s="55"/>
      <c r="B31" s="55"/>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row>
    <row r="32" spans="1:30" x14ac:dyDescent="0.2">
      <c r="A32" s="35" t="s">
        <v>57</v>
      </c>
      <c r="B32" s="33"/>
      <c r="C32" s="77">
        <f t="shared" ref="C32:H32" si="46">C115</f>
        <v>3274.8580000000002</v>
      </c>
      <c r="D32" s="77">
        <f t="shared" si="46"/>
        <v>3002.8809999999994</v>
      </c>
      <c r="E32" s="77">
        <f t="shared" si="46"/>
        <v>4057.3070000000002</v>
      </c>
      <c r="F32" s="77">
        <f t="shared" si="46"/>
        <v>4159.567</v>
      </c>
      <c r="G32" s="77">
        <f t="shared" si="46"/>
        <v>4177.009</v>
      </c>
      <c r="H32" s="77">
        <f t="shared" si="46"/>
        <v>4267.6189999999997</v>
      </c>
      <c r="I32" s="77">
        <f t="shared" ref="I32:AD32" si="47">I115</f>
        <v>4323.2389999999996</v>
      </c>
      <c r="J32" s="77">
        <f t="shared" si="47"/>
        <v>4464.8</v>
      </c>
      <c r="K32" s="77">
        <f t="shared" si="47"/>
        <v>4550.9269999999997</v>
      </c>
      <c r="L32" s="77">
        <f t="shared" si="47"/>
        <v>4687.9079999999994</v>
      </c>
      <c r="M32" s="77">
        <f t="shared" si="47"/>
        <v>4663.7139999999999</v>
      </c>
      <c r="N32" s="77">
        <f t="shared" si="47"/>
        <v>4742.402</v>
      </c>
      <c r="O32" s="77">
        <f t="shared" si="47"/>
        <v>4826.6310000000003</v>
      </c>
      <c r="P32" s="77">
        <f t="shared" si="47"/>
        <v>4590.2709999999997</v>
      </c>
      <c r="Q32" s="77">
        <f t="shared" si="47"/>
        <v>4404.1440000000002</v>
      </c>
      <c r="R32" s="77">
        <f t="shared" si="47"/>
        <v>4403.8740000000007</v>
      </c>
      <c r="S32" s="77">
        <f t="shared" si="47"/>
        <v>4551.8500000000004</v>
      </c>
      <c r="T32" s="77">
        <f t="shared" si="47"/>
        <v>4632.7969999999996</v>
      </c>
      <c r="U32" s="77">
        <f t="shared" si="47"/>
        <v>4798.6719999999996</v>
      </c>
      <c r="V32" s="77">
        <f t="shared" si="47"/>
        <v>4910.9470000000001</v>
      </c>
      <c r="W32" s="77">
        <f t="shared" si="47"/>
        <v>5042.6390000000001</v>
      </c>
      <c r="X32" s="77">
        <f t="shared" si="47"/>
        <v>5293.9880000000003</v>
      </c>
      <c r="Y32" s="77">
        <f t="shared" si="47"/>
        <v>5419.6070019999997</v>
      </c>
      <c r="Z32" s="77">
        <f t="shared" si="47"/>
        <v>5646.63</v>
      </c>
      <c r="AA32" s="77">
        <f t="shared" si="47"/>
        <v>5453.8283180000008</v>
      </c>
      <c r="AB32" s="77">
        <f t="shared" si="47"/>
        <v>5581.2070000000003</v>
      </c>
      <c r="AC32" s="77">
        <f t="shared" si="47"/>
        <v>5455.6010000000006</v>
      </c>
      <c r="AD32" s="77">
        <f t="shared" si="47"/>
        <v>5631.9600970000001</v>
      </c>
    </row>
    <row r="33" spans="1:33" hidden="1" outlineLevel="2" x14ac:dyDescent="0.2">
      <c r="A33" s="61" t="s">
        <v>138</v>
      </c>
      <c r="B33" s="17"/>
      <c r="C33" s="79">
        <f t="shared" ref="C33:N33" si="48">IFERROR(-C54-C62+C86+C87+C88+C98+C99,"n.a.")</f>
        <v>1889.2840000000001</v>
      </c>
      <c r="D33" s="79">
        <f t="shared" si="48"/>
        <v>1714.3870000000002</v>
      </c>
      <c r="E33" s="79">
        <f t="shared" si="48"/>
        <v>1694.7199999999998</v>
      </c>
      <c r="F33" s="79">
        <f t="shared" si="48"/>
        <v>1591.268</v>
      </c>
      <c r="G33" s="79">
        <f t="shared" si="48"/>
        <v>1552.076</v>
      </c>
      <c r="H33" s="79">
        <f t="shared" si="48"/>
        <v>1541.672</v>
      </c>
      <c r="I33" s="79">
        <f t="shared" si="48"/>
        <v>1503.7540000000001</v>
      </c>
      <c r="J33" s="79">
        <f t="shared" si="48"/>
        <v>1427.0920000000001</v>
      </c>
      <c r="K33" s="79">
        <f t="shared" si="48"/>
        <v>1409.4770000000001</v>
      </c>
      <c r="L33" s="79">
        <f t="shared" si="48"/>
        <v>1423.1880000000001</v>
      </c>
      <c r="M33" s="79">
        <f t="shared" si="48"/>
        <v>1391.0779999999997</v>
      </c>
      <c r="N33" s="79">
        <f t="shared" si="48"/>
        <v>1378.598</v>
      </c>
      <c r="O33" s="79">
        <f t="shared" ref="O33:T33" si="49">IFERROR(-O54-O62+O86+O87+O88+O98+O99,"n.a.")</f>
        <v>1348.6759999999999</v>
      </c>
      <c r="P33" s="79">
        <f t="shared" si="49"/>
        <v>1322.066</v>
      </c>
      <c r="Q33" s="79">
        <f t="shared" si="49"/>
        <v>1274.8510000000001</v>
      </c>
      <c r="R33" s="79">
        <f t="shared" si="49"/>
        <v>1268.6569999999999</v>
      </c>
      <c r="S33" s="79">
        <f t="shared" si="49"/>
        <v>1187.2829999999999</v>
      </c>
      <c r="T33" s="79">
        <f t="shared" si="49"/>
        <v>1154.5259999999998</v>
      </c>
      <c r="U33" s="79">
        <f>IFERROR(-U54-U62+U86+U87+U88+U98+U99,"n.a.")</f>
        <v>1030.713</v>
      </c>
      <c r="V33" s="79">
        <f>IFERROR(-V54-V62+V86+V87+V88+V98+V99,"n.a.")</f>
        <v>1036.3589999999999</v>
      </c>
      <c r="W33" s="79">
        <f>IFERROR(-W54-W62+W86+W87+W88+W98+W99,"n.a.")</f>
        <v>1088.4060000000002</v>
      </c>
      <c r="X33" s="79">
        <f>IFERROR(-X54-X62+X86+X87+X88+X98+X99,"n.a.")</f>
        <v>1081.0219999999997</v>
      </c>
      <c r="Y33" s="79">
        <f>IFERROR(-Y54-Y62+Y86+Y87+Y88+Y98+Y99,"n.a.")</f>
        <v>1046.0410119999999</v>
      </c>
      <c r="Z33" s="79">
        <f>IFERROR(-Z54-Z62+Z86+Z87+Z88+Z98+Z99+0.1,"n.a.")</f>
        <v>1047.6749999999997</v>
      </c>
      <c r="AA33" s="79">
        <f>IFERROR(-AA54-AA62+AA86+AA87+AA88+AA98+AA99,"n.a.")</f>
        <v>1067.8826750000001</v>
      </c>
      <c r="AB33" s="79">
        <f>IFERROR(-AB54-AB62+AB86+AB87+AB88+AB98+AB99,"n.a.")</f>
        <v>1053.9760000000001</v>
      </c>
      <c r="AC33" s="79">
        <f>IFERROR(-AC54-AC62+AC86+AC87+AC88+AC98+AC99,"n.a.")</f>
        <v>1085.5940000000001</v>
      </c>
      <c r="AD33" s="79">
        <f>IFERROR(-AD54-AD62+AD86+AD87+AD88+AD98+AD99+0.1,"n.a.")</f>
        <v>1077.2624369999999</v>
      </c>
    </row>
    <row r="34" spans="1:33" hidden="1" outlineLevel="2" x14ac:dyDescent="0.2">
      <c r="A34" s="61" t="s">
        <v>135</v>
      </c>
      <c r="B34" s="17"/>
      <c r="C34" s="73">
        <f>'Balance Sheet - FY'!F34</f>
        <v>0</v>
      </c>
      <c r="D34" s="85">
        <v>0</v>
      </c>
      <c r="E34" s="85">
        <v>0</v>
      </c>
      <c r="F34" s="85">
        <v>0</v>
      </c>
      <c r="G34" s="73">
        <f>'Balance Sheet - FY'!G34</f>
        <v>0</v>
      </c>
      <c r="H34" s="85">
        <v>0</v>
      </c>
      <c r="I34" s="85">
        <v>0</v>
      </c>
      <c r="J34" s="85">
        <v>0</v>
      </c>
      <c r="K34" s="73">
        <f>'Balance Sheet - FY'!H34</f>
        <v>0</v>
      </c>
      <c r="L34" s="85">
        <f>'Balance Sheet - FY'!L34</f>
        <v>0</v>
      </c>
      <c r="M34" s="85">
        <v>0</v>
      </c>
      <c r="N34" s="85">
        <v>0</v>
      </c>
      <c r="O34" s="73">
        <f>'Balance Sheet - FY'!I34</f>
        <v>0</v>
      </c>
      <c r="P34" s="85">
        <f>'Balance Sheet - FY'!P34</f>
        <v>0</v>
      </c>
      <c r="Q34" s="85">
        <f>'Balance Sheet - FY'!Q34</f>
        <v>0</v>
      </c>
      <c r="R34" s="85">
        <f>'Balance Sheet - FY'!R34</f>
        <v>0</v>
      </c>
      <c r="S34" s="73">
        <f>'Balance Sheet - FY'!J34</f>
        <v>0</v>
      </c>
      <c r="T34" s="85">
        <f>'Balance Sheet - FY'!T34</f>
        <v>0</v>
      </c>
      <c r="U34" s="85">
        <f>'Balance Sheet - FY'!U34</f>
        <v>0</v>
      </c>
      <c r="V34" s="85">
        <f>'Balance Sheet - FY'!V34</f>
        <v>0</v>
      </c>
      <c r="W34" s="73">
        <f>'Balance Sheet - FY'!K34</f>
        <v>0</v>
      </c>
      <c r="X34" s="85">
        <f>'Balance Sheet - FY'!X34</f>
        <v>0</v>
      </c>
      <c r="Y34" s="85">
        <f>'Balance Sheet - FY'!Y34</f>
        <v>0</v>
      </c>
      <c r="Z34" s="85">
        <f>'Balance Sheet - FY'!Z34</f>
        <v>0</v>
      </c>
      <c r="AA34" s="73">
        <f>'Balance Sheet - FY'!L34</f>
        <v>0</v>
      </c>
      <c r="AB34" s="85">
        <v>0</v>
      </c>
      <c r="AC34" s="85">
        <v>0</v>
      </c>
      <c r="AD34" s="85">
        <v>0</v>
      </c>
    </row>
    <row r="35" spans="1:33" collapsed="1" x14ac:dyDescent="0.2">
      <c r="A35" s="29" t="s">
        <v>58</v>
      </c>
      <c r="B35" s="17"/>
      <c r="C35" s="79">
        <f t="shared" ref="C35:K35" si="50">IFERROR(C33+C34,"n.a.")</f>
        <v>1889.2840000000001</v>
      </c>
      <c r="D35" s="79">
        <f t="shared" si="50"/>
        <v>1714.3870000000002</v>
      </c>
      <c r="E35" s="79">
        <f t="shared" si="50"/>
        <v>1694.7199999999998</v>
      </c>
      <c r="F35" s="79">
        <f t="shared" si="50"/>
        <v>1591.268</v>
      </c>
      <c r="G35" s="79">
        <f t="shared" si="50"/>
        <v>1552.076</v>
      </c>
      <c r="H35" s="79">
        <f t="shared" si="50"/>
        <v>1541.672</v>
      </c>
      <c r="I35" s="79">
        <f t="shared" si="50"/>
        <v>1503.7540000000001</v>
      </c>
      <c r="J35" s="79">
        <f t="shared" si="50"/>
        <v>1427.0920000000001</v>
      </c>
      <c r="K35" s="79">
        <f t="shared" si="50"/>
        <v>1409.4770000000001</v>
      </c>
      <c r="L35" s="79">
        <f t="shared" ref="L35:AD35" si="51">IFERROR(L33+L34,"n.a.")</f>
        <v>1423.1880000000001</v>
      </c>
      <c r="M35" s="79">
        <f t="shared" si="51"/>
        <v>1391.0779999999997</v>
      </c>
      <c r="N35" s="79">
        <f t="shared" si="51"/>
        <v>1378.598</v>
      </c>
      <c r="O35" s="79">
        <f t="shared" si="51"/>
        <v>1348.6759999999999</v>
      </c>
      <c r="P35" s="79">
        <f t="shared" si="51"/>
        <v>1322.066</v>
      </c>
      <c r="Q35" s="79">
        <f t="shared" si="51"/>
        <v>1274.8510000000001</v>
      </c>
      <c r="R35" s="79">
        <f t="shared" si="51"/>
        <v>1268.6569999999999</v>
      </c>
      <c r="S35" s="79">
        <f t="shared" si="51"/>
        <v>1187.2829999999999</v>
      </c>
      <c r="T35" s="79">
        <f t="shared" si="51"/>
        <v>1154.5259999999998</v>
      </c>
      <c r="U35" s="79">
        <f t="shared" si="51"/>
        <v>1030.713</v>
      </c>
      <c r="V35" s="79">
        <f t="shared" si="51"/>
        <v>1036.3589999999999</v>
      </c>
      <c r="W35" s="79">
        <f t="shared" si="51"/>
        <v>1088.4060000000002</v>
      </c>
      <c r="X35" s="79">
        <f t="shared" si="51"/>
        <v>1081.0219999999997</v>
      </c>
      <c r="Y35" s="79">
        <f t="shared" si="51"/>
        <v>1046.0410119999999</v>
      </c>
      <c r="Z35" s="79">
        <f t="shared" si="51"/>
        <v>1047.6749999999997</v>
      </c>
      <c r="AA35" s="79">
        <f t="shared" si="51"/>
        <v>1067.8826750000001</v>
      </c>
      <c r="AB35" s="79">
        <f t="shared" si="51"/>
        <v>1053.9760000000001</v>
      </c>
      <c r="AC35" s="79">
        <f t="shared" si="51"/>
        <v>1085.5940000000001</v>
      </c>
      <c r="AD35" s="79">
        <f t="shared" si="51"/>
        <v>1077.2624369999999</v>
      </c>
    </row>
    <row r="36" spans="1:33" hidden="1" outlineLevel="2" x14ac:dyDescent="0.2">
      <c r="A36" s="29" t="s">
        <v>285</v>
      </c>
      <c r="B36" s="17"/>
      <c r="C36" s="79">
        <f t="shared" ref="C36:K36" si="52">IFERROR(C40-C37,C40)</f>
        <v>4912.831000000001</v>
      </c>
      <c r="D36" s="79">
        <f t="shared" si="52"/>
        <v>5525.2430000000004</v>
      </c>
      <c r="E36" s="79">
        <f t="shared" si="52"/>
        <v>4176.4740000000011</v>
      </c>
      <c r="F36" s="79">
        <f t="shared" si="52"/>
        <v>4287.67</v>
      </c>
      <c r="G36" s="79">
        <f t="shared" si="52"/>
        <v>3218.4949999999994</v>
      </c>
      <c r="H36" s="79">
        <f t="shared" si="52"/>
        <v>3938.8859999999995</v>
      </c>
      <c r="I36" s="79">
        <f t="shared" si="52"/>
        <v>3916.4589999999985</v>
      </c>
      <c r="J36" s="79">
        <f t="shared" si="52"/>
        <v>4038.2950000000005</v>
      </c>
      <c r="K36" s="79">
        <f t="shared" si="52"/>
        <v>3180.1300000000006</v>
      </c>
      <c r="L36" s="79">
        <f>IFERROR(L40-L37,L40)</f>
        <v>3913.0119999999993</v>
      </c>
      <c r="M36" s="79">
        <f>IFERROR(M40-M37,M40)+0.1</f>
        <v>4022.0800000000004</v>
      </c>
      <c r="N36" s="79">
        <f>IFERROR(N40-N37,N40)</f>
        <v>4002.3000000000006</v>
      </c>
      <c r="O36" s="79">
        <f>IFERROR(O40-O37,O40)</f>
        <v>3024.0529999999999</v>
      </c>
      <c r="P36" s="79">
        <f>IFERROR(P40-P37,P40)</f>
        <v>3787.2589999999996</v>
      </c>
      <c r="Q36" s="79">
        <f>IFERROR(Q40-Q37,Q40)</f>
        <v>3782.3160000000003</v>
      </c>
      <c r="R36" s="79">
        <f>IFERROR(R40-R37,"n.a.")</f>
        <v>3780.3689999999997</v>
      </c>
      <c r="S36" s="79">
        <f>IFERROR(S40-S37,"n.a.")</f>
        <v>2792.5219999999999</v>
      </c>
      <c r="T36" s="79">
        <f>IFERROR(T40-T37,T40)</f>
        <v>3439.8899999999994</v>
      </c>
      <c r="U36" s="79">
        <f>IFERROR(U40-U37,U40)</f>
        <v>3341.913</v>
      </c>
      <c r="V36" s="79">
        <f>IFERROR(V40-V37,"n.a.")</f>
        <v>3255.6120000000001</v>
      </c>
      <c r="W36" s="79">
        <f>IFERROR(W40-W37,"n.a.")</f>
        <v>2402.7089999999994</v>
      </c>
      <c r="X36" s="79">
        <f>IFERROR(X40-X37,X40)</f>
        <v>3085.1369999999997</v>
      </c>
      <c r="Y36" s="79">
        <f>IFERROR(Y40-Y37,Y40)</f>
        <v>3027.741</v>
      </c>
      <c r="Z36" s="79">
        <f>IFERROR(Z40-Z37,"n.a.")</f>
        <v>2899.1800000000012</v>
      </c>
      <c r="AA36" s="79">
        <f>IFERROR(AA40-AA37,"n.a.")</f>
        <v>2067.1493339999997</v>
      </c>
      <c r="AB36" s="79">
        <f>IFERROR(AB40-AB37,AB40)</f>
        <v>2771.2370000000001</v>
      </c>
      <c r="AC36" s="79">
        <f>IFERROR(AC40-AC37,AC40)</f>
        <v>2611.2840000000001</v>
      </c>
      <c r="AD36" s="79">
        <f>IFERROR(AD40-AD37,"n.a.")</f>
        <v>2658.8576570000005</v>
      </c>
    </row>
    <row r="37" spans="1:33" hidden="1" outlineLevel="2" x14ac:dyDescent="0.2">
      <c r="A37" s="159" t="s">
        <v>356</v>
      </c>
      <c r="B37" s="83"/>
      <c r="C37" s="73" t="str">
        <f>'Balance Sheet - FY'!F37</f>
        <v>n.a.</v>
      </c>
      <c r="D37" s="85" t="s">
        <v>228</v>
      </c>
      <c r="E37" s="85" t="s">
        <v>228</v>
      </c>
      <c r="F37" s="85" t="s">
        <v>228</v>
      </c>
      <c r="G37" s="73" t="str">
        <f>'Balance Sheet - FY'!G37</f>
        <v>n.a.</v>
      </c>
      <c r="H37" s="85" t="s">
        <v>228</v>
      </c>
      <c r="I37" s="85" t="s">
        <v>228</v>
      </c>
      <c r="J37" s="85" t="s">
        <v>228</v>
      </c>
      <c r="K37" s="73" t="str">
        <f>'Balance Sheet - FY'!H37</f>
        <v>n.a.</v>
      </c>
      <c r="L37" s="85">
        <v>474.32799999999997</v>
      </c>
      <c r="M37" s="85">
        <v>469.8</v>
      </c>
      <c r="N37" s="85">
        <v>477.85500000000002</v>
      </c>
      <c r="O37" s="73">
        <f>'Balance Sheet - FY'!I37</f>
        <v>483.17200000000003</v>
      </c>
      <c r="P37" s="85">
        <v>473.47500000000002</v>
      </c>
      <c r="Q37" s="85">
        <v>482.36399999999998</v>
      </c>
      <c r="R37" s="85">
        <v>472.11200000000002</v>
      </c>
      <c r="S37" s="73">
        <f>'Balance Sheet - FY'!J37</f>
        <v>465.85300000000001</v>
      </c>
      <c r="T37" s="85">
        <v>472.03899999999999</v>
      </c>
      <c r="U37" s="85">
        <v>476.76299999999998</v>
      </c>
      <c r="V37" s="85">
        <v>459.28699999999998</v>
      </c>
      <c r="W37" s="73">
        <f>'Balance Sheet - FY'!K37</f>
        <v>504.40699999999998</v>
      </c>
      <c r="X37" s="85">
        <v>494.86700000000002</v>
      </c>
      <c r="Y37" s="85">
        <v>503</v>
      </c>
      <c r="Z37" s="85">
        <v>490.9</v>
      </c>
      <c r="AA37" s="73">
        <f>'Balance Sheet - FY'!L37</f>
        <v>485.48500000000001</v>
      </c>
      <c r="AB37" s="85">
        <v>472.721</v>
      </c>
      <c r="AC37" s="85">
        <v>476.2</v>
      </c>
      <c r="AD37" s="85">
        <f>92.8+386.4</f>
        <v>479.2</v>
      </c>
    </row>
    <row r="38" spans="1:33" hidden="1" outlineLevel="2" x14ac:dyDescent="0.2">
      <c r="A38" s="61" t="s">
        <v>137</v>
      </c>
      <c r="B38" s="17"/>
      <c r="C38" s="79">
        <f t="shared" ref="C38:Q38" si="53">IFERROR(C84+C90+C94+C101-C55-C59-C66-C71-C73-C69-C70,"n.a.")</f>
        <v>4912.831000000001</v>
      </c>
      <c r="D38" s="79">
        <f t="shared" si="53"/>
        <v>5525.2430000000004</v>
      </c>
      <c r="E38" s="79">
        <f t="shared" si="53"/>
        <v>4176.4740000000011</v>
      </c>
      <c r="F38" s="79">
        <f t="shared" si="53"/>
        <v>4287.67</v>
      </c>
      <c r="G38" s="79">
        <f t="shared" si="53"/>
        <v>3218.4949999999994</v>
      </c>
      <c r="H38" s="79">
        <f t="shared" si="53"/>
        <v>3938.8859999999995</v>
      </c>
      <c r="I38" s="79">
        <f t="shared" si="53"/>
        <v>3916.4589999999985</v>
      </c>
      <c r="J38" s="79">
        <f t="shared" si="53"/>
        <v>4038.2950000000005</v>
      </c>
      <c r="K38" s="79">
        <f t="shared" si="53"/>
        <v>3180.1300000000006</v>
      </c>
      <c r="L38" s="79">
        <f t="shared" si="53"/>
        <v>4387.3399999999992</v>
      </c>
      <c r="M38" s="79">
        <f t="shared" si="53"/>
        <v>4491.68</v>
      </c>
      <c r="N38" s="79">
        <f t="shared" si="53"/>
        <v>4480.1550000000007</v>
      </c>
      <c r="O38" s="79">
        <f t="shared" si="53"/>
        <v>3507.2249999999999</v>
      </c>
      <c r="P38" s="79">
        <f t="shared" si="53"/>
        <v>4260.7339999999995</v>
      </c>
      <c r="Q38" s="79">
        <f t="shared" si="53"/>
        <v>4264.68</v>
      </c>
      <c r="R38" s="79">
        <f t="shared" ref="R38:Y38" si="54">IFERROR(R84+R90+R94+R101-R55-R59-R66-R71-R73-R69-R70,"n.a.")</f>
        <v>4252.4809999999998</v>
      </c>
      <c r="S38" s="79">
        <f t="shared" si="54"/>
        <v>3258.375</v>
      </c>
      <c r="T38" s="79">
        <f t="shared" si="54"/>
        <v>3911.9289999999996</v>
      </c>
      <c r="U38" s="79">
        <f t="shared" si="54"/>
        <v>3818.6759999999999</v>
      </c>
      <c r="V38" s="79">
        <f t="shared" si="54"/>
        <v>3714.8989999999999</v>
      </c>
      <c r="W38" s="79">
        <f t="shared" si="54"/>
        <v>2907.1159999999995</v>
      </c>
      <c r="X38" s="79">
        <f t="shared" si="54"/>
        <v>3580.0039999999999</v>
      </c>
      <c r="Y38" s="79">
        <f t="shared" si="54"/>
        <v>3530.741</v>
      </c>
      <c r="Z38" s="79">
        <f>IFERROR(Z84+Z90+Z94+Z101-Z55-Z59-Z66-Z71-Z73-Z69-Z70-0.4,"n.a.")</f>
        <v>3390.0800000000013</v>
      </c>
      <c r="AA38" s="79">
        <f>IFERROR(AA84+AA90+AA94+AA101-AA55-AA59-AA66-AA71-AA73-AA69-AA70,"n.a.")</f>
        <v>2552.6343339999999</v>
      </c>
      <c r="AB38" s="79">
        <f>IFERROR(AB84+AB90+AB94+AB101-AB55-AB59-AB66-AB71-AB73-AB69-AB70,"n.a.")-0.1</f>
        <v>3243.9580000000001</v>
      </c>
      <c r="AC38" s="79">
        <f>IFERROR(AC84+AC90+AC94+AC101-AC55-AC59-AC66-AC71-AC73-AC69-AC70,"n.a.")</f>
        <v>3087.4839999999999</v>
      </c>
      <c r="AD38" s="79">
        <f>IFERROR(AD84+AD90+AD94+AD101-AD55-AD59-AD66-AD71-AD73-AD69-AD70-0.1,"n.a.")</f>
        <v>3138.0576570000003</v>
      </c>
    </row>
    <row r="39" spans="1:33" hidden="1" outlineLevel="2" x14ac:dyDescent="0.2">
      <c r="A39" s="61" t="s">
        <v>136</v>
      </c>
      <c r="B39" s="17"/>
      <c r="C39" s="73">
        <f>'Balance Sheet - FY'!F39</f>
        <v>0</v>
      </c>
      <c r="D39" s="85">
        <v>0</v>
      </c>
      <c r="E39" s="85">
        <v>0</v>
      </c>
      <c r="F39" s="85">
        <v>0</v>
      </c>
      <c r="G39" s="73">
        <f>'Balance Sheet - FY'!G39</f>
        <v>0</v>
      </c>
      <c r="H39" s="85">
        <v>0</v>
      </c>
      <c r="I39" s="85">
        <v>0</v>
      </c>
      <c r="J39" s="85">
        <v>0</v>
      </c>
      <c r="K39" s="73">
        <f>'Balance Sheet - FY'!H39</f>
        <v>0</v>
      </c>
      <c r="L39" s="85">
        <f>'Balance Sheet - FY'!L39</f>
        <v>0</v>
      </c>
      <c r="M39" s="85">
        <v>0</v>
      </c>
      <c r="N39" s="85">
        <v>0</v>
      </c>
      <c r="O39" s="73">
        <f>'Balance Sheet - FY'!I39</f>
        <v>0</v>
      </c>
      <c r="P39" s="85">
        <f>'Balance Sheet - FY'!P39</f>
        <v>0</v>
      </c>
      <c r="Q39" s="85">
        <f>'Balance Sheet - FY'!Q39</f>
        <v>0</v>
      </c>
      <c r="R39" s="85">
        <f>'Balance Sheet - FY'!R39</f>
        <v>0</v>
      </c>
      <c r="S39" s="73">
        <f>'Balance Sheet - FY'!J39</f>
        <v>0</v>
      </c>
      <c r="T39" s="85">
        <f>'Balance Sheet - FY'!T39</f>
        <v>0</v>
      </c>
      <c r="U39" s="85">
        <f>'Balance Sheet - FY'!U39</f>
        <v>0</v>
      </c>
      <c r="V39" s="85">
        <f>'Balance Sheet - FY'!V39</f>
        <v>0</v>
      </c>
      <c r="W39" s="73">
        <f>'Balance Sheet - FY'!K39</f>
        <v>0</v>
      </c>
      <c r="X39" s="85">
        <f>'Balance Sheet - FY'!X39</f>
        <v>0</v>
      </c>
      <c r="Y39" s="85">
        <f>'Balance Sheet - FY'!Y39</f>
        <v>0</v>
      </c>
      <c r="Z39" s="85">
        <f>'Balance Sheet - FY'!Z39</f>
        <v>0</v>
      </c>
      <c r="AA39" s="73">
        <f>'Balance Sheet - FY'!L39</f>
        <v>0</v>
      </c>
      <c r="AB39" s="85">
        <f>'Balance Sheet - FY'!AB39</f>
        <v>0</v>
      </c>
      <c r="AC39" s="85">
        <f>'Balance Sheet - FY'!AC39</f>
        <v>0</v>
      </c>
      <c r="AD39" s="85">
        <v>0</v>
      </c>
    </row>
    <row r="40" spans="1:33" collapsed="1" x14ac:dyDescent="0.2">
      <c r="A40" s="29" t="s">
        <v>286</v>
      </c>
      <c r="B40" s="17"/>
      <c r="C40" s="79">
        <f>IFERROR(C38+C39,"n.a.")</f>
        <v>4912.831000000001</v>
      </c>
      <c r="D40" s="79">
        <f t="shared" ref="D40:L40" si="55">IFERROR(D38+D39,"n.a.")</f>
        <v>5525.2430000000004</v>
      </c>
      <c r="E40" s="79">
        <f t="shared" si="55"/>
        <v>4176.4740000000011</v>
      </c>
      <c r="F40" s="79">
        <f t="shared" si="55"/>
        <v>4287.67</v>
      </c>
      <c r="G40" s="79">
        <f t="shared" si="55"/>
        <v>3218.4949999999994</v>
      </c>
      <c r="H40" s="79">
        <f t="shared" si="55"/>
        <v>3938.8859999999995</v>
      </c>
      <c r="I40" s="79">
        <f t="shared" si="55"/>
        <v>3916.4589999999985</v>
      </c>
      <c r="J40" s="79">
        <f t="shared" si="55"/>
        <v>4038.2950000000005</v>
      </c>
      <c r="K40" s="79">
        <f t="shared" si="55"/>
        <v>3180.1300000000006</v>
      </c>
      <c r="L40" s="79">
        <f t="shared" si="55"/>
        <v>4387.3399999999992</v>
      </c>
      <c r="M40" s="79">
        <f>IFERROR(M38+M39,"n.a.")+0.1</f>
        <v>4491.7800000000007</v>
      </c>
      <c r="N40" s="79">
        <f>IFERROR(N38+N39,"n.a.")</f>
        <v>4480.1550000000007</v>
      </c>
      <c r="O40" s="79">
        <f>IFERROR(O38+O39,"n.a.")</f>
        <v>3507.2249999999999</v>
      </c>
      <c r="P40" s="79">
        <f>IFERROR(P38+P39,"n.a.")</f>
        <v>4260.7339999999995</v>
      </c>
      <c r="Q40" s="79">
        <f>IFERROR(Q38+Q39,"n.a.")</f>
        <v>4264.68</v>
      </c>
      <c r="R40" s="79">
        <f>IFERROR(R38+R39,"n.a.")</f>
        <v>4252.4809999999998</v>
      </c>
      <c r="S40" s="73">
        <f>'Balance Sheet - FY'!J40</f>
        <v>3258.375</v>
      </c>
      <c r="T40" s="79">
        <f t="shared" ref="T40:AD40" si="56">IFERROR(T38+T39,"n.a.")</f>
        <v>3911.9289999999996</v>
      </c>
      <c r="U40" s="79">
        <f t="shared" si="56"/>
        <v>3818.6759999999999</v>
      </c>
      <c r="V40" s="79">
        <f t="shared" si="56"/>
        <v>3714.8989999999999</v>
      </c>
      <c r="W40" s="79">
        <f t="shared" si="56"/>
        <v>2907.1159999999995</v>
      </c>
      <c r="X40" s="79">
        <f t="shared" si="56"/>
        <v>3580.0039999999999</v>
      </c>
      <c r="Y40" s="79">
        <f t="shared" si="56"/>
        <v>3530.741</v>
      </c>
      <c r="Z40" s="79">
        <f t="shared" si="56"/>
        <v>3390.0800000000013</v>
      </c>
      <c r="AA40" s="79">
        <f t="shared" si="56"/>
        <v>2552.6343339999999</v>
      </c>
      <c r="AB40" s="79">
        <f t="shared" si="56"/>
        <v>3243.9580000000001</v>
      </c>
      <c r="AC40" s="79">
        <f t="shared" si="56"/>
        <v>3087.4839999999999</v>
      </c>
      <c r="AD40" s="79">
        <f t="shared" si="56"/>
        <v>3138.0576570000003</v>
      </c>
    </row>
    <row r="41" spans="1:33" s="22" customFormat="1" x14ac:dyDescent="0.2">
      <c r="A41" s="99" t="s">
        <v>60</v>
      </c>
      <c r="B41" s="99"/>
      <c r="C41" s="100">
        <f t="shared" ref="C41:K41" si="57">IFERROR(C32+C35+C40,"n.a.")</f>
        <v>10076.973000000002</v>
      </c>
      <c r="D41" s="100">
        <f t="shared" si="57"/>
        <v>10242.511</v>
      </c>
      <c r="E41" s="100">
        <f t="shared" si="57"/>
        <v>9928.5010000000002</v>
      </c>
      <c r="F41" s="100">
        <f t="shared" si="57"/>
        <v>10038.505000000001</v>
      </c>
      <c r="G41" s="100">
        <f t="shared" si="57"/>
        <v>8947.58</v>
      </c>
      <c r="H41" s="100">
        <f t="shared" si="57"/>
        <v>9748.1769999999997</v>
      </c>
      <c r="I41" s="100">
        <f t="shared" si="57"/>
        <v>9743.4519999999975</v>
      </c>
      <c r="J41" s="100">
        <f t="shared" si="57"/>
        <v>9930.1869999999999</v>
      </c>
      <c r="K41" s="100">
        <f t="shared" si="57"/>
        <v>9140.5339999999997</v>
      </c>
      <c r="L41" s="100">
        <f>IFERROR(L32+L35+L40,"n.a.")</f>
        <v>10498.435999999998</v>
      </c>
      <c r="M41" s="100">
        <f>IFERROR(M32+M35+M40,"n.a.")-0.1</f>
        <v>10546.472</v>
      </c>
      <c r="N41" s="100">
        <f t="shared" ref="N41:X41" si="58">IFERROR(N32+N35+N40,"n.a.")</f>
        <v>10601.155000000001</v>
      </c>
      <c r="O41" s="100">
        <f t="shared" si="58"/>
        <v>9682.5320000000011</v>
      </c>
      <c r="P41" s="100">
        <f t="shared" si="58"/>
        <v>10173.071</v>
      </c>
      <c r="Q41" s="100">
        <f t="shared" si="58"/>
        <v>9943.6750000000011</v>
      </c>
      <c r="R41" s="100">
        <f t="shared" si="58"/>
        <v>9925.0120000000006</v>
      </c>
      <c r="S41" s="100">
        <f t="shared" si="58"/>
        <v>8997.5079999999998</v>
      </c>
      <c r="T41" s="100">
        <f t="shared" si="58"/>
        <v>9699.2519999999986</v>
      </c>
      <c r="U41" s="100">
        <f t="shared" si="58"/>
        <v>9648.0609999999997</v>
      </c>
      <c r="V41" s="100">
        <f t="shared" si="58"/>
        <v>9662.2049999999999</v>
      </c>
      <c r="W41" s="100">
        <f t="shared" si="58"/>
        <v>9038.1610000000001</v>
      </c>
      <c r="X41" s="100">
        <f t="shared" si="58"/>
        <v>9955.0139999999992</v>
      </c>
      <c r="Y41" s="100">
        <f>IFERROR(Y32+Y35+Y40-0.1,"n.a.")</f>
        <v>9996.289014</v>
      </c>
      <c r="Z41" s="100">
        <f>IFERROR(Z32+Z35+Z40,"n.a.")</f>
        <v>10084.385000000002</v>
      </c>
      <c r="AA41" s="100">
        <f>IFERROR(AA32+AA35+AA40,"n.a.")</f>
        <v>9074.3453270000009</v>
      </c>
      <c r="AB41" s="100">
        <f>IFERROR(AB32+AB35+AB40,"n.a.")+0.1</f>
        <v>9879.2410000000018</v>
      </c>
      <c r="AC41" s="100">
        <f>IFERROR(AC32+AC35+AC40,"n.a.")</f>
        <v>9628.6790000000001</v>
      </c>
      <c r="AD41" s="100">
        <f>IFERROR(AD32+AD35+AD40,"n.a.")</f>
        <v>9847.2801910000017</v>
      </c>
    </row>
    <row r="42" spans="1:33" x14ac:dyDescent="0.2">
      <c r="AE42" s="22"/>
      <c r="AF42" s="22"/>
      <c r="AG42" s="22"/>
    </row>
    <row r="43" spans="1:33" x14ac:dyDescent="0.2">
      <c r="AE43" s="22"/>
      <c r="AF43" s="22"/>
      <c r="AG43" s="22"/>
    </row>
    <row r="44" spans="1:33" ht="13.5" thickBot="1" x14ac:dyDescent="0.25">
      <c r="A44" s="11" t="s">
        <v>374</v>
      </c>
      <c r="B44" s="11"/>
      <c r="C44" s="13" t="str">
        <f t="shared" ref="C44:P44" si="59">C4</f>
        <v>FY 2016</v>
      </c>
      <c r="D44" s="13" t="str">
        <f t="shared" si="59"/>
        <v>1Q 2017</v>
      </c>
      <c r="E44" s="13" t="str">
        <f t="shared" si="59"/>
        <v>1H 2017</v>
      </c>
      <c r="F44" s="13" t="str">
        <f t="shared" si="59"/>
        <v>9M 2017</v>
      </c>
      <c r="G44" s="13" t="str">
        <f t="shared" si="59"/>
        <v>FY 2017</v>
      </c>
      <c r="H44" s="13" t="str">
        <f t="shared" si="59"/>
        <v>1Q 2018</v>
      </c>
      <c r="I44" s="13" t="str">
        <f t="shared" si="59"/>
        <v>1H 2018</v>
      </c>
      <c r="J44" s="13" t="str">
        <f t="shared" si="59"/>
        <v>9M 2018</v>
      </c>
      <c r="K44" s="13" t="str">
        <f t="shared" si="59"/>
        <v>FY 2018</v>
      </c>
      <c r="L44" s="13" t="str">
        <f t="shared" si="59"/>
        <v>1Q 2019</v>
      </c>
      <c r="M44" s="13" t="str">
        <f t="shared" si="59"/>
        <v>1H 2019</v>
      </c>
      <c r="N44" s="13" t="str">
        <f t="shared" si="59"/>
        <v>9M 2019</v>
      </c>
      <c r="O44" s="13" t="str">
        <f t="shared" si="59"/>
        <v>FY 2019</v>
      </c>
      <c r="P44" s="13" t="str">
        <f t="shared" si="59"/>
        <v>1Q 2020</v>
      </c>
      <c r="Q44" s="13" t="str">
        <f t="shared" ref="Q44:AD44" si="60">Q4</f>
        <v>1H 2020</v>
      </c>
      <c r="R44" s="13" t="str">
        <f t="shared" si="60"/>
        <v>9M 2020</v>
      </c>
      <c r="S44" s="13" t="str">
        <f t="shared" si="60"/>
        <v>FY 2020</v>
      </c>
      <c r="T44" s="13" t="str">
        <f t="shared" si="60"/>
        <v>1Q 2021</v>
      </c>
      <c r="U44" s="13" t="str">
        <f t="shared" si="60"/>
        <v>1H 2021</v>
      </c>
      <c r="V44" s="13" t="str">
        <f t="shared" si="60"/>
        <v>9M 2021</v>
      </c>
      <c r="W44" s="13" t="str">
        <f t="shared" si="60"/>
        <v>FY 2021</v>
      </c>
      <c r="X44" s="13" t="str">
        <f t="shared" si="60"/>
        <v>1Q 2022</v>
      </c>
      <c r="Y44" s="13" t="str">
        <f t="shared" si="60"/>
        <v>1H 2022</v>
      </c>
      <c r="Z44" s="13" t="str">
        <f t="shared" si="60"/>
        <v>9M 2022</v>
      </c>
      <c r="AA44" s="13" t="str">
        <f t="shared" si="60"/>
        <v>FY 2022</v>
      </c>
      <c r="AB44" s="13" t="str">
        <f t="shared" si="60"/>
        <v>1Q 2023</v>
      </c>
      <c r="AC44" s="13" t="str">
        <f t="shared" si="60"/>
        <v>1H 2023</v>
      </c>
      <c r="AD44" s="13" t="str">
        <f t="shared" si="60"/>
        <v>9M 2023</v>
      </c>
      <c r="AE44" s="22"/>
      <c r="AF44" s="22"/>
      <c r="AG44" s="22"/>
    </row>
    <row r="45" spans="1:33" x14ac:dyDescent="0.2">
      <c r="C45" s="37" t="str">
        <f t="shared" ref="C45:P45" si="61">C5</f>
        <v>restated</v>
      </c>
      <c r="D45" s="37" t="str">
        <f t="shared" si="61"/>
        <v>reported</v>
      </c>
      <c r="E45" s="37" t="str">
        <f t="shared" si="61"/>
        <v>carve-out</v>
      </c>
      <c r="F45" s="37" t="str">
        <f t="shared" si="61"/>
        <v>reported</v>
      </c>
      <c r="G45" s="37" t="str">
        <f t="shared" si="61"/>
        <v>reported</v>
      </c>
      <c r="H45" s="37" t="str">
        <f t="shared" si="61"/>
        <v>reported</v>
      </c>
      <c r="I45" s="37" t="str">
        <f t="shared" si="61"/>
        <v>reported</v>
      </c>
      <c r="J45" s="37" t="str">
        <f t="shared" si="61"/>
        <v>reported</v>
      </c>
      <c r="K45" s="37" t="str">
        <f t="shared" si="61"/>
        <v>reported</v>
      </c>
      <c r="L45" s="37" t="str">
        <f t="shared" si="61"/>
        <v>reported</v>
      </c>
      <c r="M45" s="37" t="str">
        <f t="shared" si="61"/>
        <v>reported</v>
      </c>
      <c r="N45" s="37" t="str">
        <f t="shared" si="61"/>
        <v>reported</v>
      </c>
      <c r="O45" s="37" t="str">
        <f t="shared" si="61"/>
        <v>reported</v>
      </c>
      <c r="P45" s="37" t="str">
        <f t="shared" si="61"/>
        <v>reported</v>
      </c>
      <c r="Q45" s="37" t="str">
        <f t="shared" ref="Q45:AD45" si="62">Q5</f>
        <v>reported</v>
      </c>
      <c r="R45" s="37" t="str">
        <f t="shared" si="62"/>
        <v>reported</v>
      </c>
      <c r="S45" s="37" t="str">
        <f t="shared" si="62"/>
        <v>reported</v>
      </c>
      <c r="T45" s="37" t="str">
        <f t="shared" si="62"/>
        <v>reported</v>
      </c>
      <c r="U45" s="37" t="str">
        <f t="shared" si="62"/>
        <v>reported</v>
      </c>
      <c r="V45" s="37" t="str">
        <f t="shared" si="62"/>
        <v>reported</v>
      </c>
      <c r="W45" s="37" t="str">
        <f t="shared" si="62"/>
        <v>reported</v>
      </c>
      <c r="X45" s="37" t="str">
        <f t="shared" si="62"/>
        <v>reported</v>
      </c>
      <c r="Y45" s="37" t="str">
        <f t="shared" si="62"/>
        <v>reported</v>
      </c>
      <c r="Z45" s="37" t="str">
        <f t="shared" si="62"/>
        <v>reported</v>
      </c>
      <c r="AA45" s="37" t="str">
        <f t="shared" si="62"/>
        <v>reported</v>
      </c>
      <c r="AB45" s="37" t="str">
        <f t="shared" si="62"/>
        <v>reported</v>
      </c>
      <c r="AC45" s="37" t="str">
        <f t="shared" si="62"/>
        <v>reported</v>
      </c>
      <c r="AD45" s="37" t="str">
        <f t="shared" si="62"/>
        <v>reported</v>
      </c>
      <c r="AE45" s="22"/>
      <c r="AF45" s="22"/>
      <c r="AG45" s="22"/>
    </row>
    <row r="46" spans="1:33" x14ac:dyDescent="0.2">
      <c r="AE46" s="22"/>
      <c r="AF46" s="22"/>
      <c r="AG46" s="22"/>
    </row>
    <row r="47" spans="1:33" hidden="1" outlineLevel="1" x14ac:dyDescent="0.2">
      <c r="A47" s="62" t="s">
        <v>0</v>
      </c>
      <c r="B47" s="33"/>
      <c r="C47" s="115">
        <f>'Balance Sheet - FY'!F47</f>
        <v>3556.6350000000002</v>
      </c>
      <c r="D47" s="86">
        <v>2980.0859999999998</v>
      </c>
      <c r="E47" s="86">
        <v>2927.2</v>
      </c>
      <c r="F47" s="86">
        <v>2968.2190000000001</v>
      </c>
      <c r="G47" s="115">
        <f>'Balance Sheet - FY'!G47</f>
        <v>2980.2939999999999</v>
      </c>
      <c r="H47" s="86">
        <v>3004.1410000000001</v>
      </c>
      <c r="I47" s="86">
        <v>2970.884</v>
      </c>
      <c r="J47" s="86">
        <v>3001.4388969658894</v>
      </c>
      <c r="K47" s="115">
        <f>'Balance Sheet - FY'!H47</f>
        <v>3092.9270000000001</v>
      </c>
      <c r="L47" s="86">
        <v>3621.0349999999999</v>
      </c>
      <c r="M47" s="86">
        <v>3593.5940000000001</v>
      </c>
      <c r="N47" s="86">
        <v>3593.2420000000002</v>
      </c>
      <c r="O47" s="115">
        <f>'Balance Sheet - FY'!I47</f>
        <v>3649.8090000000002</v>
      </c>
      <c r="P47" s="86">
        <v>3409.1579999999999</v>
      </c>
      <c r="Q47" s="86">
        <v>3309.7579999999998</v>
      </c>
      <c r="R47" s="86">
        <v>3187.4229999999998</v>
      </c>
      <c r="S47" s="115">
        <f>'Balance Sheet - FY'!J47</f>
        <v>3159.7669999999998</v>
      </c>
      <c r="T47" s="228">
        <v>3187.83</v>
      </c>
      <c r="U47" s="228">
        <v>3224.3449999999998</v>
      </c>
      <c r="V47" s="228">
        <v>3184.7420000000002</v>
      </c>
      <c r="W47" s="229">
        <f>'Balance Sheet - FY'!K47</f>
        <v>3288.9140000000002</v>
      </c>
      <c r="X47" s="228">
        <v>3315.0920000000001</v>
      </c>
      <c r="Y47" s="228">
        <v>3451.5859999999998</v>
      </c>
      <c r="Z47" s="228">
        <v>3463.4</v>
      </c>
      <c r="AA47" s="229">
        <f>'Balance Sheet - FY'!L47</f>
        <v>3399.6280000000002</v>
      </c>
      <c r="AB47" s="228">
        <v>3370.857</v>
      </c>
      <c r="AC47" s="228">
        <v>3367.52</v>
      </c>
      <c r="AD47" s="228">
        <v>3375.7830279999998</v>
      </c>
      <c r="AE47" s="22"/>
      <c r="AF47" s="22"/>
      <c r="AG47" s="22"/>
    </row>
    <row r="48" spans="1:33" hidden="1" outlineLevel="1" x14ac:dyDescent="0.2">
      <c r="A48" s="61" t="s">
        <v>1</v>
      </c>
      <c r="B48" s="17"/>
      <c r="C48" s="74">
        <f>'Balance Sheet - FY'!F48</f>
        <v>6496.8890000000001</v>
      </c>
      <c r="D48" s="68">
        <v>5968.5029999999997</v>
      </c>
      <c r="E48" s="68">
        <v>5940.3819999999996</v>
      </c>
      <c r="F48" s="68">
        <v>5910.33</v>
      </c>
      <c r="G48" s="74">
        <f>'Balance Sheet - FY'!G48</f>
        <v>5893.7039999999997</v>
      </c>
      <c r="H48" s="68">
        <v>5862.2629999999999</v>
      </c>
      <c r="I48" s="68">
        <v>5832.19</v>
      </c>
      <c r="J48" s="85">
        <v>5803.2489999999998</v>
      </c>
      <c r="K48" s="74">
        <f>'Balance Sheet - FY'!H48</f>
        <v>5783.3379999999997</v>
      </c>
      <c r="L48" s="68">
        <v>5753.3540000000003</v>
      </c>
      <c r="M48" s="68">
        <v>5725.6270000000004</v>
      </c>
      <c r="N48" s="68">
        <v>5697.9229999999998</v>
      </c>
      <c r="O48" s="74">
        <f>'Balance Sheet - FY'!I48</f>
        <v>5680.1750000000002</v>
      </c>
      <c r="P48" s="68">
        <v>5648.0069999999996</v>
      </c>
      <c r="Q48" s="68">
        <v>5639.8109999999997</v>
      </c>
      <c r="R48" s="68">
        <v>5609.0630000000001</v>
      </c>
      <c r="S48" s="74">
        <f>'Balance Sheet - FY'!J48</f>
        <v>5582.0330000000004</v>
      </c>
      <c r="T48" s="68">
        <v>5557.4179999999997</v>
      </c>
      <c r="U48" s="68">
        <v>5535.3850000000002</v>
      </c>
      <c r="V48" s="68">
        <v>5508.1549999999997</v>
      </c>
      <c r="W48" s="74">
        <f>'Balance Sheet - FY'!K48</f>
        <v>5485.665</v>
      </c>
      <c r="X48" s="68">
        <v>5460.2049999999999</v>
      </c>
      <c r="Y48" s="68">
        <v>5435.4629999999997</v>
      </c>
      <c r="Z48" s="68">
        <v>5411.4</v>
      </c>
      <c r="AA48" s="74">
        <f>'Balance Sheet - FY'!L48</f>
        <v>5382.8370000000004</v>
      </c>
      <c r="AB48" s="68">
        <v>5350.4030000000002</v>
      </c>
      <c r="AC48" s="68">
        <v>5318.6450000000004</v>
      </c>
      <c r="AD48" s="68">
        <v>5288.592952</v>
      </c>
      <c r="AE48" s="22"/>
      <c r="AF48" s="22"/>
      <c r="AG48" s="22"/>
    </row>
    <row r="49" spans="1:33" hidden="1" outlineLevel="1" x14ac:dyDescent="0.2">
      <c r="A49" s="230" t="s">
        <v>62</v>
      </c>
      <c r="B49" s="231"/>
      <c r="C49" s="232">
        <f>'Balance Sheet - FY'!F49</f>
        <v>2351.2629999999999</v>
      </c>
      <c r="D49" s="233">
        <v>1877.3630000000001</v>
      </c>
      <c r="E49" s="233">
        <v>1877.3630000000001</v>
      </c>
      <c r="F49" s="234">
        <v>1877.3630000000001</v>
      </c>
      <c r="G49" s="235">
        <f>'Balance Sheet - FY'!G49</f>
        <v>1877.3630000000001</v>
      </c>
      <c r="H49" s="233">
        <v>1877.3630000000001</v>
      </c>
      <c r="I49" s="233">
        <v>1877.3630000000001</v>
      </c>
      <c r="J49" s="233">
        <v>1877.3630000000001</v>
      </c>
      <c r="K49" s="235">
        <f>'Balance Sheet - FY'!H49</f>
        <v>1886.9</v>
      </c>
      <c r="L49" s="233">
        <v>1886.999</v>
      </c>
      <c r="M49" s="233">
        <v>1886.999</v>
      </c>
      <c r="N49" s="233">
        <v>1886.999</v>
      </c>
      <c r="O49" s="235">
        <f>'Balance Sheet - FY'!I49</f>
        <v>1886.9</v>
      </c>
      <c r="P49" s="233">
        <v>1884.981</v>
      </c>
      <c r="Q49" s="233">
        <v>1884.451</v>
      </c>
      <c r="R49" s="233">
        <v>1883.95866</v>
      </c>
      <c r="S49" s="235">
        <f>'Balance Sheet - FY'!J49</f>
        <v>1883.9449999999999</v>
      </c>
      <c r="T49" s="233">
        <v>1883.636</v>
      </c>
      <c r="U49" s="233">
        <v>1884.19</v>
      </c>
      <c r="V49" s="233">
        <v>1883.788</v>
      </c>
      <c r="W49" s="235">
        <f>'Balance Sheet - FY'!K49</f>
        <v>1883.7650000000001</v>
      </c>
      <c r="X49" s="233">
        <v>1885.0609999999999</v>
      </c>
      <c r="Y49" s="233">
        <v>1884.7429999999999</v>
      </c>
      <c r="Z49" s="234">
        <v>1885</v>
      </c>
      <c r="AA49" s="235">
        <f>'Balance Sheet - FY'!L49</f>
        <v>1884.6289999999999</v>
      </c>
      <c r="AB49" s="233">
        <v>1884.6679999999999</v>
      </c>
      <c r="AC49" s="233">
        <v>1885.0530000000001</v>
      </c>
      <c r="AD49" s="233">
        <v>1884.998</v>
      </c>
      <c r="AE49" s="22"/>
      <c r="AF49" s="22"/>
      <c r="AG49" s="22"/>
    </row>
    <row r="50" spans="1:33" hidden="1" outlineLevel="1" x14ac:dyDescent="0.2">
      <c r="A50" s="61" t="s">
        <v>63</v>
      </c>
      <c r="B50" s="17"/>
      <c r="C50" s="74">
        <f>'Balance Sheet - FY'!F50</f>
        <v>47.01</v>
      </c>
      <c r="D50" s="68">
        <v>43.825000000000003</v>
      </c>
      <c r="E50" s="68">
        <v>42.966000000000001</v>
      </c>
      <c r="F50" s="68">
        <v>40.302</v>
      </c>
      <c r="G50" s="74">
        <f>'Balance Sheet - FY'!G50</f>
        <v>17.48</v>
      </c>
      <c r="H50" s="68">
        <v>11.888</v>
      </c>
      <c r="I50" s="68">
        <v>8.3469999999999995</v>
      </c>
      <c r="J50" s="85">
        <v>8.4440000000000008</v>
      </c>
      <c r="K50" s="74">
        <f>'Balance Sheet - FY'!H50</f>
        <v>72.704999999999998</v>
      </c>
      <c r="L50" s="68">
        <v>92.11</v>
      </c>
      <c r="M50" s="68">
        <v>88.540999999999997</v>
      </c>
      <c r="N50" s="68">
        <v>85.055000000000007</v>
      </c>
      <c r="O50" s="74">
        <f>'Balance Sheet - FY'!I50</f>
        <v>80.846000000000004</v>
      </c>
      <c r="P50" s="68">
        <v>76.132999999999996</v>
      </c>
      <c r="Q50" s="68">
        <v>76.004999999999995</v>
      </c>
      <c r="R50" s="68">
        <v>72.915999999999997</v>
      </c>
      <c r="S50" s="74">
        <f>'Balance Sheet - FY'!J50</f>
        <v>72.587999999999994</v>
      </c>
      <c r="T50" s="68">
        <v>74.731999999999999</v>
      </c>
      <c r="U50" s="68">
        <v>75.650000000000006</v>
      </c>
      <c r="V50" s="68">
        <v>77.135999999999996</v>
      </c>
      <c r="W50" s="74">
        <f>'Balance Sheet - FY'!K50</f>
        <v>80.885999999999996</v>
      </c>
      <c r="X50" s="68">
        <v>83.152000000000001</v>
      </c>
      <c r="Y50" s="68">
        <v>82.998000000000005</v>
      </c>
      <c r="Z50" s="68">
        <v>85.2</v>
      </c>
      <c r="AA50" s="74">
        <f>'Balance Sheet - FY'!L50</f>
        <v>80.227000000000004</v>
      </c>
      <c r="AB50" s="85">
        <v>82.284999999999997</v>
      </c>
      <c r="AC50" s="68">
        <v>81.39</v>
      </c>
      <c r="AD50" s="68">
        <v>85.29543799999999</v>
      </c>
      <c r="AE50" s="22"/>
      <c r="AF50" s="22"/>
      <c r="AG50" s="22"/>
    </row>
    <row r="51" spans="1:33" hidden="1" outlineLevel="1" x14ac:dyDescent="0.2">
      <c r="A51" s="61" t="s">
        <v>64</v>
      </c>
      <c r="B51" s="17"/>
      <c r="C51" s="73">
        <f>'Balance Sheet - FY'!F51</f>
        <v>198.691</v>
      </c>
      <c r="D51" s="68">
        <v>221.16499999999999</v>
      </c>
      <c r="E51" s="68">
        <v>220.90899999999999</v>
      </c>
      <c r="F51" s="68">
        <v>228.51300000000001</v>
      </c>
      <c r="G51" s="74">
        <f>'Balance Sheet - FY'!G51</f>
        <v>229.51900000000001</v>
      </c>
      <c r="H51" s="68">
        <v>0</v>
      </c>
      <c r="I51" s="68">
        <v>0</v>
      </c>
      <c r="J51" s="85">
        <v>0</v>
      </c>
      <c r="K51" s="74">
        <f>'Balance Sheet - FY'!H51</f>
        <v>0</v>
      </c>
      <c r="L51" s="68">
        <v>0</v>
      </c>
      <c r="M51" s="68">
        <v>0</v>
      </c>
      <c r="N51" s="68">
        <v>0</v>
      </c>
      <c r="O51" s="74">
        <f>'Balance Sheet - FY'!I51</f>
        <v>0</v>
      </c>
      <c r="P51" s="68">
        <v>0</v>
      </c>
      <c r="Q51" s="68">
        <v>0</v>
      </c>
      <c r="R51" s="68">
        <v>0</v>
      </c>
      <c r="S51" s="74">
        <f>'Balance Sheet - FY'!J51</f>
        <v>0</v>
      </c>
      <c r="T51" s="68">
        <v>0</v>
      </c>
      <c r="U51" s="68">
        <v>0</v>
      </c>
      <c r="V51" s="68">
        <v>0</v>
      </c>
      <c r="W51" s="74">
        <f>'Balance Sheet - FY'!K51</f>
        <v>0</v>
      </c>
      <c r="X51" s="68">
        <v>0</v>
      </c>
      <c r="Y51" s="68">
        <v>0</v>
      </c>
      <c r="Z51" s="68">
        <v>0</v>
      </c>
      <c r="AA51" s="74">
        <f>'Balance Sheet - FY'!L51</f>
        <v>0</v>
      </c>
      <c r="AB51" s="85">
        <v>0</v>
      </c>
      <c r="AC51" s="68">
        <v>0</v>
      </c>
      <c r="AD51" s="68">
        <v>0</v>
      </c>
      <c r="AE51" s="22"/>
      <c r="AF51" s="22"/>
      <c r="AG51" s="22"/>
    </row>
    <row r="52" spans="1:33" hidden="1" outlineLevel="1" x14ac:dyDescent="0.2">
      <c r="A52" s="61" t="s">
        <v>238</v>
      </c>
      <c r="B52" s="17"/>
      <c r="C52" s="73">
        <f>'Balance Sheet - FY'!F52</f>
        <v>0</v>
      </c>
      <c r="D52" s="68">
        <v>0</v>
      </c>
      <c r="E52" s="68">
        <v>0</v>
      </c>
      <c r="F52" s="68">
        <v>0</v>
      </c>
      <c r="G52" s="74">
        <f>'Balance Sheet - FY'!G52</f>
        <v>0</v>
      </c>
      <c r="H52" s="68">
        <v>0</v>
      </c>
      <c r="I52" s="68">
        <v>0</v>
      </c>
      <c r="J52" s="85">
        <v>0</v>
      </c>
      <c r="K52" s="74">
        <f>'Balance Sheet - FY'!H52</f>
        <v>0</v>
      </c>
      <c r="L52" s="68">
        <v>0</v>
      </c>
      <c r="M52" s="68">
        <v>0</v>
      </c>
      <c r="N52" s="68">
        <v>0</v>
      </c>
      <c r="O52" s="74">
        <f>'Balance Sheet - FY'!I52</f>
        <v>0</v>
      </c>
      <c r="P52" s="68">
        <v>0</v>
      </c>
      <c r="Q52" s="68">
        <v>0</v>
      </c>
      <c r="R52" s="68">
        <v>0</v>
      </c>
      <c r="S52" s="74">
        <f>'Balance Sheet - FY'!J52</f>
        <v>0</v>
      </c>
      <c r="T52" s="68">
        <v>0</v>
      </c>
      <c r="U52" s="68">
        <v>0</v>
      </c>
      <c r="V52" s="68">
        <v>0</v>
      </c>
      <c r="W52" s="74">
        <f>'Balance Sheet - FY'!K52</f>
        <v>0</v>
      </c>
      <c r="X52" s="68">
        <v>0</v>
      </c>
      <c r="Y52" s="68">
        <v>0</v>
      </c>
      <c r="Z52" s="68">
        <v>0</v>
      </c>
      <c r="AA52" s="74">
        <f>'Balance Sheet - FY'!L52</f>
        <v>0</v>
      </c>
      <c r="AB52" s="85">
        <v>0</v>
      </c>
      <c r="AC52" s="68">
        <v>0</v>
      </c>
      <c r="AD52" s="68">
        <v>0</v>
      </c>
      <c r="AE52" s="22"/>
      <c r="AF52" s="22"/>
      <c r="AG52" s="22"/>
    </row>
    <row r="53" spans="1:33" hidden="1" outlineLevel="1" x14ac:dyDescent="0.2">
      <c r="A53" s="61" t="s">
        <v>306</v>
      </c>
      <c r="B53" s="17"/>
      <c r="C53" s="73">
        <f>'Balance Sheet - FY'!F53</f>
        <v>0</v>
      </c>
      <c r="D53" s="68">
        <v>0</v>
      </c>
      <c r="E53" s="68">
        <v>0</v>
      </c>
      <c r="F53" s="68">
        <v>0</v>
      </c>
      <c r="G53" s="74">
        <f>'Balance Sheet - FY'!G53</f>
        <v>0</v>
      </c>
      <c r="H53" s="68">
        <v>79.918000000000006</v>
      </c>
      <c r="I53" s="68">
        <v>69.8</v>
      </c>
      <c r="J53" s="85">
        <v>67.504999999999995</v>
      </c>
      <c r="K53" s="74">
        <f>'Balance Sheet - FY'!H53</f>
        <v>68.781000000000006</v>
      </c>
      <c r="L53" s="68">
        <v>75.650000000000006</v>
      </c>
      <c r="M53" s="68">
        <v>67.427999999999997</v>
      </c>
      <c r="N53" s="68">
        <v>60.51</v>
      </c>
      <c r="O53" s="74">
        <f>'Balance Sheet - FY'!I53</f>
        <v>58.966999999999999</v>
      </c>
      <c r="P53" s="68">
        <v>41.575000000000003</v>
      </c>
      <c r="Q53" s="68">
        <v>42.143000000000001</v>
      </c>
      <c r="R53" s="68">
        <v>39.414999999999999</v>
      </c>
      <c r="S53" s="74">
        <f>'Balance Sheet - FY'!J53</f>
        <v>42.72</v>
      </c>
      <c r="T53" s="68">
        <v>50.658000000000001</v>
      </c>
      <c r="U53" s="68">
        <v>52.161999999999999</v>
      </c>
      <c r="V53" s="68">
        <v>52.485999999999997</v>
      </c>
      <c r="W53" s="74">
        <f>'Balance Sheet - FY'!K53</f>
        <v>56.906999999999996</v>
      </c>
      <c r="X53" s="68">
        <v>52.317</v>
      </c>
      <c r="Y53" s="68">
        <v>47.097999999999999</v>
      </c>
      <c r="Z53" s="68">
        <v>46.7</v>
      </c>
      <c r="AA53" s="74">
        <f>'Balance Sheet - FY'!L53</f>
        <v>48.419302999999999</v>
      </c>
      <c r="AB53" s="85">
        <v>51.323999999999998</v>
      </c>
      <c r="AC53" s="68">
        <v>54.15</v>
      </c>
      <c r="AD53" s="68">
        <v>55.061866000000002</v>
      </c>
      <c r="AE53" s="22"/>
      <c r="AF53" s="22"/>
      <c r="AG53" s="22"/>
    </row>
    <row r="54" spans="1:33" hidden="1" outlineLevel="1" x14ac:dyDescent="0.2">
      <c r="A54" s="61" t="s">
        <v>65</v>
      </c>
      <c r="B54" s="17"/>
      <c r="C54" s="73">
        <f>'Balance Sheet - FY'!F54</f>
        <v>147.964</v>
      </c>
      <c r="D54" s="68">
        <v>115.78</v>
      </c>
      <c r="E54" s="68">
        <v>158.38</v>
      </c>
      <c r="F54" s="68">
        <v>194.239</v>
      </c>
      <c r="G54" s="74">
        <f>'Balance Sheet - FY'!G54</f>
        <v>111.553</v>
      </c>
      <c r="H54" s="68">
        <v>104.785</v>
      </c>
      <c r="I54" s="68">
        <v>85.393000000000001</v>
      </c>
      <c r="J54" s="85">
        <v>72.073999999999998</v>
      </c>
      <c r="K54" s="74">
        <f>'Balance Sheet - FY'!H54</f>
        <v>74.117999999999995</v>
      </c>
      <c r="L54" s="68">
        <v>59.25</v>
      </c>
      <c r="M54" s="68">
        <v>67.513999999999996</v>
      </c>
      <c r="N54" s="68">
        <v>67.95</v>
      </c>
      <c r="O54" s="74">
        <f>'Balance Sheet - FY'!I54</f>
        <v>81.188000000000002</v>
      </c>
      <c r="P54" s="68">
        <v>81.248000000000005</v>
      </c>
      <c r="Q54" s="68">
        <v>120.679</v>
      </c>
      <c r="R54" s="68">
        <v>105.155</v>
      </c>
      <c r="S54" s="74">
        <f>'Balance Sheet - FY'!J54</f>
        <v>109.378</v>
      </c>
      <c r="T54" s="68">
        <v>121.461</v>
      </c>
      <c r="U54" s="68">
        <v>149.679</v>
      </c>
      <c r="V54" s="68">
        <v>128.50200000000001</v>
      </c>
      <c r="W54" s="74">
        <f>'Balance Sheet - FY'!K54</f>
        <v>137.643</v>
      </c>
      <c r="X54" s="68">
        <v>150.78100000000001</v>
      </c>
      <c r="Y54" s="68">
        <v>142.446988</v>
      </c>
      <c r="Z54" s="68">
        <v>165.4</v>
      </c>
      <c r="AA54" s="74">
        <f>'Balance Sheet - FY'!L54</f>
        <v>176.96859499999999</v>
      </c>
      <c r="AB54" s="85">
        <v>175.012</v>
      </c>
      <c r="AC54" s="68">
        <v>192.6</v>
      </c>
      <c r="AD54" s="68">
        <v>204.913152</v>
      </c>
      <c r="AE54" s="22"/>
      <c r="AF54" s="22"/>
      <c r="AG54" s="22"/>
    </row>
    <row r="55" spans="1:33" hidden="1" outlineLevel="2" x14ac:dyDescent="0.2">
      <c r="A55" s="89" t="s">
        <v>132</v>
      </c>
      <c r="B55" s="17"/>
      <c r="C55" s="73">
        <f>'Balance Sheet - FY'!F55</f>
        <v>95.713999999999999</v>
      </c>
      <c r="D55" s="85">
        <v>98.578999999999994</v>
      </c>
      <c r="E55" s="85">
        <v>110.97</v>
      </c>
      <c r="F55" s="68">
        <v>109.36499999999999</v>
      </c>
      <c r="G55" s="74">
        <f>'Balance Sheet - FY'!G55</f>
        <v>94.584999999999994</v>
      </c>
      <c r="H55" s="85">
        <v>92.641000000000005</v>
      </c>
      <c r="I55" s="85">
        <v>87.024000000000001</v>
      </c>
      <c r="J55" s="85">
        <v>85.754999999999995</v>
      </c>
      <c r="K55" s="74">
        <f>'Balance Sheet - FY'!H55</f>
        <v>123.547</v>
      </c>
      <c r="L55" s="85">
        <v>112.76100000000001</v>
      </c>
      <c r="M55" s="85">
        <v>114.623</v>
      </c>
      <c r="N55" s="85">
        <v>115.633</v>
      </c>
      <c r="O55" s="74">
        <f>'Balance Sheet - FY'!I55</f>
        <v>135.99600000000001</v>
      </c>
      <c r="P55" s="85">
        <v>282.459</v>
      </c>
      <c r="Q55" s="85">
        <v>272.04599999999999</v>
      </c>
      <c r="R55" s="85">
        <v>263.411</v>
      </c>
      <c r="S55" s="74">
        <f>'Balance Sheet - FY'!J55</f>
        <v>265.94499999999999</v>
      </c>
      <c r="T55" s="85">
        <v>273.52300000000002</v>
      </c>
      <c r="U55" s="85">
        <v>260.5</v>
      </c>
      <c r="V55" s="85">
        <v>257.11799999999999</v>
      </c>
      <c r="W55" s="74">
        <f>'Balance Sheet - FY'!K55</f>
        <v>261.52199999999999</v>
      </c>
      <c r="X55" s="68">
        <v>276.274</v>
      </c>
      <c r="Y55" s="85">
        <v>275.68299999999999</v>
      </c>
      <c r="Z55" s="68">
        <v>280.39999999999998</v>
      </c>
      <c r="AA55" s="74">
        <f>'Balance Sheet - FY'!L55</f>
        <v>104.767</v>
      </c>
      <c r="AB55" s="85">
        <v>106.44199999999999</v>
      </c>
      <c r="AC55" s="85">
        <v>111.49</v>
      </c>
      <c r="AD55" s="85">
        <v>112.334</v>
      </c>
      <c r="AE55" s="22"/>
      <c r="AF55" s="22"/>
      <c r="AG55" s="22"/>
    </row>
    <row r="56" spans="1:33" hidden="1" outlineLevel="2" x14ac:dyDescent="0.2">
      <c r="A56" s="89" t="s">
        <v>133</v>
      </c>
      <c r="B56" s="17"/>
      <c r="C56" s="73">
        <f>'Balance Sheet - FY'!F56</f>
        <v>131.154</v>
      </c>
      <c r="D56" s="85">
        <v>113.58800000000001</v>
      </c>
      <c r="E56" s="85">
        <v>104.76400000000001</v>
      </c>
      <c r="F56" s="68">
        <v>112.63600000000001</v>
      </c>
      <c r="G56" s="74">
        <f>'Balance Sheet - FY'!G56</f>
        <v>109.46599999999999</v>
      </c>
      <c r="H56" s="85">
        <v>116.06499999999998</v>
      </c>
      <c r="I56" s="85">
        <v>108.43799999999999</v>
      </c>
      <c r="J56" s="85">
        <v>106.268</v>
      </c>
      <c r="K56" s="74">
        <f>'Balance Sheet - FY'!H56</f>
        <v>102.16</v>
      </c>
      <c r="L56" s="85">
        <v>101.57899999999999</v>
      </c>
      <c r="M56" s="85">
        <v>288.416</v>
      </c>
      <c r="N56" s="85">
        <v>222.834</v>
      </c>
      <c r="O56" s="74">
        <f>'Balance Sheet - FY'!I56</f>
        <v>206.40099999999998</v>
      </c>
      <c r="P56" s="85">
        <v>166.00900000000001</v>
      </c>
      <c r="Q56" s="85">
        <v>145.22000000000003</v>
      </c>
      <c r="R56" s="85">
        <v>145.11099999999999</v>
      </c>
      <c r="S56" s="74">
        <f>'Balance Sheet - FY'!J56</f>
        <v>136.20300000000003</v>
      </c>
      <c r="T56" s="85">
        <v>114.60899999999999</v>
      </c>
      <c r="U56" s="85">
        <v>128.34300000000002</v>
      </c>
      <c r="V56" s="85">
        <v>121.343</v>
      </c>
      <c r="W56" s="74">
        <f>'Balance Sheet - FY'!K56</f>
        <v>101.42200000000003</v>
      </c>
      <c r="X56" s="85">
        <v>120.74099999999999</v>
      </c>
      <c r="Y56" s="85">
        <v>170.93600000000001</v>
      </c>
      <c r="Z56" s="68">
        <v>178.9</v>
      </c>
      <c r="AA56" s="74">
        <f>'Balance Sheet - FY'!L56</f>
        <v>126.4</v>
      </c>
      <c r="AB56" s="85">
        <f>231.589-AB55</f>
        <v>125.14700000000001</v>
      </c>
      <c r="AC56" s="85">
        <v>131.84</v>
      </c>
      <c r="AD56" s="85">
        <f>245.795-AD55</f>
        <v>133.46099999999998</v>
      </c>
      <c r="AE56" s="22"/>
      <c r="AF56" s="22"/>
      <c r="AG56" s="22"/>
    </row>
    <row r="57" spans="1:33" hidden="1" outlineLevel="1" x14ac:dyDescent="0.2">
      <c r="A57" s="61" t="s">
        <v>66</v>
      </c>
      <c r="B57" s="17"/>
      <c r="C57" s="80">
        <f t="shared" ref="C57:J57" si="63">IFERROR(C55+C56,"n.a.")</f>
        <v>226.86799999999999</v>
      </c>
      <c r="D57" s="80">
        <f t="shared" si="63"/>
        <v>212.167</v>
      </c>
      <c r="E57" s="80">
        <f t="shared" si="63"/>
        <v>215.73400000000001</v>
      </c>
      <c r="F57" s="80">
        <f t="shared" si="63"/>
        <v>222.001</v>
      </c>
      <c r="G57" s="80">
        <f t="shared" si="63"/>
        <v>204.05099999999999</v>
      </c>
      <c r="H57" s="80">
        <f t="shared" si="63"/>
        <v>208.70599999999999</v>
      </c>
      <c r="I57" s="80">
        <f t="shared" si="63"/>
        <v>195.46199999999999</v>
      </c>
      <c r="J57" s="80">
        <f t="shared" si="63"/>
        <v>192.023</v>
      </c>
      <c r="K57" s="80">
        <f t="shared" ref="K57:AC57" si="64">IFERROR(K55+K56,"n.a.")</f>
        <v>225.70699999999999</v>
      </c>
      <c r="L57" s="80">
        <f t="shared" si="64"/>
        <v>214.34</v>
      </c>
      <c r="M57" s="80">
        <f t="shared" si="64"/>
        <v>403.03899999999999</v>
      </c>
      <c r="N57" s="80">
        <f t="shared" si="64"/>
        <v>338.46699999999998</v>
      </c>
      <c r="O57" s="80">
        <f t="shared" si="64"/>
        <v>342.39699999999999</v>
      </c>
      <c r="P57" s="80">
        <f t="shared" si="64"/>
        <v>448.46800000000002</v>
      </c>
      <c r="Q57" s="80">
        <f t="shared" si="64"/>
        <v>417.26600000000002</v>
      </c>
      <c r="R57" s="80">
        <f t="shared" si="64"/>
        <v>408.52199999999999</v>
      </c>
      <c r="S57" s="80">
        <f t="shared" si="64"/>
        <v>402.14800000000002</v>
      </c>
      <c r="T57" s="80">
        <f t="shared" si="64"/>
        <v>388.13200000000001</v>
      </c>
      <c r="U57" s="80">
        <f t="shared" si="64"/>
        <v>388.84300000000002</v>
      </c>
      <c r="V57" s="80">
        <f t="shared" si="64"/>
        <v>378.46100000000001</v>
      </c>
      <c r="W57" s="80">
        <f t="shared" si="64"/>
        <v>362.94400000000002</v>
      </c>
      <c r="X57" s="80">
        <f t="shared" si="64"/>
        <v>397.01499999999999</v>
      </c>
      <c r="Y57" s="80">
        <f t="shared" si="64"/>
        <v>446.61900000000003</v>
      </c>
      <c r="Z57" s="80">
        <f t="shared" si="64"/>
        <v>459.29999999999995</v>
      </c>
      <c r="AA57" s="80">
        <f t="shared" si="64"/>
        <v>231.167</v>
      </c>
      <c r="AB57" s="79">
        <f t="shared" si="64"/>
        <v>231.589</v>
      </c>
      <c r="AC57" s="80">
        <f t="shared" si="64"/>
        <v>243.32999999999998</v>
      </c>
      <c r="AD57" s="80">
        <v>245.79512</v>
      </c>
      <c r="AE57" s="22"/>
      <c r="AF57" s="22"/>
      <c r="AG57" s="22"/>
    </row>
    <row r="58" spans="1:33" hidden="1" outlineLevel="1" x14ac:dyDescent="0.2">
      <c r="A58" s="61" t="s">
        <v>67</v>
      </c>
      <c r="B58" s="17"/>
      <c r="C58" s="73">
        <f>'Balance Sheet - FY'!F58</f>
        <v>11.864000000000001</v>
      </c>
      <c r="D58" s="68">
        <v>20.765999999999998</v>
      </c>
      <c r="E58" s="68">
        <v>21.971</v>
      </c>
      <c r="F58" s="68">
        <v>21.478999999999999</v>
      </c>
      <c r="G58" s="74">
        <f>'Balance Sheet - FY'!G58</f>
        <v>27.318000000000001</v>
      </c>
      <c r="H58" s="68">
        <v>24.908000000000001</v>
      </c>
      <c r="I58" s="68">
        <v>18.495000000000001</v>
      </c>
      <c r="J58" s="85">
        <v>14.827999999999999</v>
      </c>
      <c r="K58" s="74">
        <f>'Balance Sheet - FY'!H58</f>
        <v>16.169</v>
      </c>
      <c r="L58" s="68">
        <v>15.335000000000001</v>
      </c>
      <c r="M58" s="68">
        <v>15.718</v>
      </c>
      <c r="N58" s="68">
        <v>15.648</v>
      </c>
      <c r="O58" s="74">
        <f>'Balance Sheet - FY'!I58</f>
        <v>9.14</v>
      </c>
      <c r="P58" s="68">
        <v>9.08</v>
      </c>
      <c r="Q58" s="68">
        <v>7.5540000000000003</v>
      </c>
      <c r="R58" s="68">
        <v>6.18</v>
      </c>
      <c r="S58" s="74">
        <f>'Balance Sheet - FY'!J58</f>
        <v>4.7610000000000001</v>
      </c>
      <c r="T58" s="68">
        <v>4.6669999999999998</v>
      </c>
      <c r="U58" s="68">
        <v>6.2610000000000001</v>
      </c>
      <c r="V58" s="68">
        <v>7.202</v>
      </c>
      <c r="W58" s="74">
        <f>'Balance Sheet - FY'!K58</f>
        <v>27.564</v>
      </c>
      <c r="X58" s="68">
        <v>33.148000000000003</v>
      </c>
      <c r="Y58" s="68">
        <v>9.048</v>
      </c>
      <c r="Z58" s="68">
        <v>9.5</v>
      </c>
      <c r="AA58" s="74">
        <f>'Balance Sheet - FY'!L58</f>
        <v>9.0547260000000005</v>
      </c>
      <c r="AB58" s="85">
        <v>9.1</v>
      </c>
      <c r="AC58" s="68">
        <v>9.58</v>
      </c>
      <c r="AD58" s="68">
        <v>9.5149799999999995</v>
      </c>
      <c r="AE58" s="22"/>
      <c r="AF58" s="22"/>
      <c r="AG58" s="22"/>
    </row>
    <row r="59" spans="1:33" hidden="1" outlineLevel="2" x14ac:dyDescent="0.2">
      <c r="A59" s="89" t="s">
        <v>255</v>
      </c>
      <c r="B59" s="17"/>
      <c r="C59" s="73">
        <f>'Balance Sheet - FY'!F59</f>
        <v>0</v>
      </c>
      <c r="D59" s="85">
        <v>0</v>
      </c>
      <c r="E59" s="85">
        <v>0</v>
      </c>
      <c r="F59" s="68">
        <v>0</v>
      </c>
      <c r="G59" s="74">
        <f>'Balance Sheet - FY'!G59</f>
        <v>0</v>
      </c>
      <c r="H59" s="85">
        <v>0</v>
      </c>
      <c r="I59" s="85">
        <v>9.5370000000000008</v>
      </c>
      <c r="J59" s="85">
        <v>9.3330000000000002</v>
      </c>
      <c r="K59" s="74">
        <f>'Balance Sheet - FY'!H59</f>
        <v>20.134</v>
      </c>
      <c r="L59" s="85">
        <v>36.637</v>
      </c>
      <c r="M59" s="85">
        <v>17.63</v>
      </c>
      <c r="N59" s="85">
        <v>93.658000000000001</v>
      </c>
      <c r="O59" s="74">
        <f>'Balance Sheet - FY'!I59</f>
        <v>52.515000000000001</v>
      </c>
      <c r="P59" s="85">
        <v>90.433999999999997</v>
      </c>
      <c r="Q59" s="85">
        <v>57.061</v>
      </c>
      <c r="R59" s="85">
        <v>1.788</v>
      </c>
      <c r="S59" s="74">
        <f>'Balance Sheet - FY'!J59</f>
        <v>0</v>
      </c>
      <c r="T59" s="85">
        <v>0</v>
      </c>
      <c r="U59" s="85">
        <v>0</v>
      </c>
      <c r="V59" s="85">
        <v>0.64200000000000002</v>
      </c>
      <c r="W59" s="74">
        <f>'Balance Sheet - FY'!K59</f>
        <v>4.6120000000000001</v>
      </c>
      <c r="X59" s="68">
        <v>0.46800000000000003</v>
      </c>
      <c r="Y59" s="85">
        <v>1.7629999999999999</v>
      </c>
      <c r="Z59" s="85">
        <v>22.9</v>
      </c>
      <c r="AA59" s="74">
        <f>'Balance Sheet - FY'!L59</f>
        <v>26.430126000000001</v>
      </c>
      <c r="AB59" s="85">
        <v>24.579000000000001</v>
      </c>
      <c r="AC59" s="85">
        <v>27.798999999999999</v>
      </c>
      <c r="AD59" s="85">
        <v>25.155898000000001</v>
      </c>
      <c r="AE59" s="22"/>
      <c r="AF59" s="22"/>
      <c r="AG59" s="22"/>
    </row>
    <row r="60" spans="1:33" hidden="1" outlineLevel="2" x14ac:dyDescent="0.2">
      <c r="A60" s="89" t="s">
        <v>256</v>
      </c>
      <c r="B60" s="17"/>
      <c r="C60" s="73">
        <f>'Balance Sheet - FY'!F60</f>
        <v>0</v>
      </c>
      <c r="D60" s="85">
        <v>0</v>
      </c>
      <c r="E60" s="85">
        <v>0</v>
      </c>
      <c r="F60" s="68">
        <v>0</v>
      </c>
      <c r="G60" s="74">
        <f>'Balance Sheet - FY'!G60</f>
        <v>0.84799999999999998</v>
      </c>
      <c r="H60" s="85">
        <v>0.61499999999999999</v>
      </c>
      <c r="I60" s="85">
        <v>0</v>
      </c>
      <c r="J60" s="85">
        <v>0</v>
      </c>
      <c r="K60" s="74">
        <f>'Balance Sheet - FY'!H60</f>
        <v>0</v>
      </c>
      <c r="L60" s="85">
        <v>0</v>
      </c>
      <c r="M60" s="85">
        <v>0</v>
      </c>
      <c r="N60" s="85">
        <v>0</v>
      </c>
      <c r="O60" s="74">
        <f>'Balance Sheet - FY'!I60</f>
        <v>0</v>
      </c>
      <c r="P60" s="85">
        <v>0</v>
      </c>
      <c r="Q60" s="85">
        <v>0</v>
      </c>
      <c r="R60" s="85">
        <v>0</v>
      </c>
      <c r="S60" s="74">
        <f>'Balance Sheet - FY'!J60</f>
        <v>0</v>
      </c>
      <c r="T60" s="85">
        <v>0</v>
      </c>
      <c r="U60" s="85">
        <v>0</v>
      </c>
      <c r="V60" s="85">
        <v>0</v>
      </c>
      <c r="W60" s="74">
        <f>'Balance Sheet - FY'!K60</f>
        <v>0</v>
      </c>
      <c r="X60" s="85">
        <v>0</v>
      </c>
      <c r="Y60" s="85">
        <v>0</v>
      </c>
      <c r="Z60" s="85">
        <v>0</v>
      </c>
      <c r="AA60" s="74">
        <f>'Balance Sheet - FY'!L60</f>
        <v>0</v>
      </c>
      <c r="AB60" s="85">
        <v>0</v>
      </c>
      <c r="AC60" s="85">
        <v>0</v>
      </c>
      <c r="AD60" s="85">
        <v>0</v>
      </c>
      <c r="AE60" s="22"/>
      <c r="AF60" s="22"/>
      <c r="AG60" s="22"/>
    </row>
    <row r="61" spans="1:33" hidden="1" outlineLevel="1" x14ac:dyDescent="0.2">
      <c r="A61" s="117" t="s">
        <v>71</v>
      </c>
      <c r="B61" s="83"/>
      <c r="C61" s="79">
        <f t="shared" ref="C61:J61" si="65">IFERROR(C59+C60,"n.a.")</f>
        <v>0</v>
      </c>
      <c r="D61" s="79">
        <f t="shared" si="65"/>
        <v>0</v>
      </c>
      <c r="E61" s="79">
        <f t="shared" si="65"/>
        <v>0</v>
      </c>
      <c r="F61" s="79">
        <f t="shared" si="65"/>
        <v>0</v>
      </c>
      <c r="G61" s="79">
        <f t="shared" si="65"/>
        <v>0.84799999999999998</v>
      </c>
      <c r="H61" s="79">
        <f t="shared" si="65"/>
        <v>0.61499999999999999</v>
      </c>
      <c r="I61" s="79">
        <f t="shared" si="65"/>
        <v>9.5370000000000008</v>
      </c>
      <c r="J61" s="79">
        <f t="shared" si="65"/>
        <v>9.3330000000000002</v>
      </c>
      <c r="K61" s="79">
        <f t="shared" ref="K61:AD61" si="66">IFERROR(K59+K60,"n.a.")</f>
        <v>20.134</v>
      </c>
      <c r="L61" s="79">
        <f t="shared" si="66"/>
        <v>36.637</v>
      </c>
      <c r="M61" s="79">
        <f t="shared" si="66"/>
        <v>17.63</v>
      </c>
      <c r="N61" s="79">
        <f t="shared" si="66"/>
        <v>93.658000000000001</v>
      </c>
      <c r="O61" s="79">
        <f t="shared" si="66"/>
        <v>52.515000000000001</v>
      </c>
      <c r="P61" s="79">
        <f t="shared" si="66"/>
        <v>90.433999999999997</v>
      </c>
      <c r="Q61" s="79">
        <f t="shared" si="66"/>
        <v>57.061</v>
      </c>
      <c r="R61" s="79">
        <f t="shared" si="66"/>
        <v>1.788</v>
      </c>
      <c r="S61" s="79">
        <f t="shared" si="66"/>
        <v>0</v>
      </c>
      <c r="T61" s="79">
        <f t="shared" si="66"/>
        <v>0</v>
      </c>
      <c r="U61" s="79">
        <f t="shared" si="66"/>
        <v>0</v>
      </c>
      <c r="V61" s="79">
        <f t="shared" si="66"/>
        <v>0.64200000000000002</v>
      </c>
      <c r="W61" s="79">
        <f t="shared" si="66"/>
        <v>4.6120000000000001</v>
      </c>
      <c r="X61" s="79">
        <f t="shared" si="66"/>
        <v>0.46800000000000003</v>
      </c>
      <c r="Y61" s="79">
        <f t="shared" si="66"/>
        <v>1.7629999999999999</v>
      </c>
      <c r="Z61" s="79">
        <f t="shared" si="66"/>
        <v>22.9</v>
      </c>
      <c r="AA61" s="79">
        <f t="shared" si="66"/>
        <v>26.430126000000001</v>
      </c>
      <c r="AB61" s="79">
        <f t="shared" si="66"/>
        <v>24.579000000000001</v>
      </c>
      <c r="AC61" s="79">
        <f t="shared" si="66"/>
        <v>27.798999999999999</v>
      </c>
      <c r="AD61" s="79">
        <f t="shared" si="66"/>
        <v>25.155898000000001</v>
      </c>
      <c r="AE61" s="22"/>
      <c r="AF61" s="22"/>
      <c r="AG61" s="22"/>
    </row>
    <row r="62" spans="1:33" hidden="1" outlineLevel="1" x14ac:dyDescent="0.2">
      <c r="A62" s="61" t="s">
        <v>335</v>
      </c>
      <c r="B62" s="17"/>
      <c r="C62" s="73">
        <f>'Balance Sheet - FY'!F62</f>
        <v>0</v>
      </c>
      <c r="D62" s="68">
        <v>0</v>
      </c>
      <c r="E62" s="68">
        <v>0</v>
      </c>
      <c r="F62" s="68">
        <v>0</v>
      </c>
      <c r="G62" s="74">
        <f>'Balance Sheet - FY'!G62</f>
        <v>0</v>
      </c>
      <c r="H62" s="68">
        <v>0</v>
      </c>
      <c r="I62" s="68">
        <v>0</v>
      </c>
      <c r="J62" s="85">
        <v>0</v>
      </c>
      <c r="K62" s="74">
        <f>'Balance Sheet - FY'!H62</f>
        <v>0</v>
      </c>
      <c r="L62" s="68">
        <v>0</v>
      </c>
      <c r="M62" s="68">
        <v>0</v>
      </c>
      <c r="N62" s="68">
        <v>0</v>
      </c>
      <c r="O62" s="74">
        <f>'Balance Sheet - FY'!I62</f>
        <v>57.829000000000001</v>
      </c>
      <c r="P62" s="68">
        <v>0</v>
      </c>
      <c r="Q62" s="68">
        <v>0</v>
      </c>
      <c r="R62" s="68">
        <v>0</v>
      </c>
      <c r="S62" s="74">
        <f>'Balance Sheet - FY'!J62</f>
        <v>80.421999999999997</v>
      </c>
      <c r="T62" s="68">
        <v>96.754000000000005</v>
      </c>
      <c r="U62" s="85">
        <v>158.779</v>
      </c>
      <c r="V62" s="68">
        <v>166.13200000000001</v>
      </c>
      <c r="W62" s="74">
        <f>'Balance Sheet - FY'!K62</f>
        <v>153.20500000000001</v>
      </c>
      <c r="X62" s="68">
        <v>160.22300000000001</v>
      </c>
      <c r="Y62" s="68">
        <v>190.04400000000001</v>
      </c>
      <c r="Z62" s="68">
        <v>188.7</v>
      </c>
      <c r="AA62" s="74">
        <f>'Balance Sheet - FY'!L62</f>
        <v>120.4808</v>
      </c>
      <c r="AB62" s="85">
        <v>126.3</v>
      </c>
      <c r="AC62" s="85">
        <v>84.61</v>
      </c>
      <c r="AD62" s="85">
        <v>89.968643</v>
      </c>
      <c r="AE62" s="22"/>
      <c r="AF62" s="22"/>
      <c r="AG62" s="22"/>
    </row>
    <row r="63" spans="1:33" s="22" customFormat="1" collapsed="1" x14ac:dyDescent="0.2">
      <c r="A63" s="91" t="s">
        <v>68</v>
      </c>
      <c r="B63" s="87"/>
      <c r="C63" s="88">
        <f>IFERROR(C47+C48+C50+C51+C52+C53+C54+C57+C58+C61+C62,"n.a.")</f>
        <v>10685.921000000002</v>
      </c>
      <c r="D63" s="88">
        <f t="shared" ref="D63:S63" si="67">IFERROR(D47+D48+D50+D51+D52+D53+D54+D57+D58+D61+D62,"n.a.")</f>
        <v>9562.2920000000013</v>
      </c>
      <c r="E63" s="88">
        <f t="shared" si="67"/>
        <v>9527.5419999999976</v>
      </c>
      <c r="F63" s="88">
        <f t="shared" si="67"/>
        <v>9585.0829999999987</v>
      </c>
      <c r="G63" s="88">
        <f t="shared" si="67"/>
        <v>9464.766999999998</v>
      </c>
      <c r="H63" s="88">
        <f t="shared" si="67"/>
        <v>9297.2240000000002</v>
      </c>
      <c r="I63" s="88">
        <f t="shared" si="67"/>
        <v>9190.1080000000002</v>
      </c>
      <c r="J63" s="88">
        <f t="shared" si="67"/>
        <v>9168.8948969658886</v>
      </c>
      <c r="K63" s="88">
        <f t="shared" si="67"/>
        <v>9353.8790000000008</v>
      </c>
      <c r="L63" s="88">
        <f t="shared" si="67"/>
        <v>9867.7109999999993</v>
      </c>
      <c r="M63" s="88">
        <f t="shared" si="67"/>
        <v>9979.0910000000003</v>
      </c>
      <c r="N63" s="88">
        <f t="shared" si="67"/>
        <v>9952.4530000000013</v>
      </c>
      <c r="O63" s="88">
        <f t="shared" si="67"/>
        <v>10012.866</v>
      </c>
      <c r="P63" s="88">
        <f t="shared" si="67"/>
        <v>9804.1029999999992</v>
      </c>
      <c r="Q63" s="88">
        <f t="shared" si="67"/>
        <v>9670.2769999999982</v>
      </c>
      <c r="R63" s="88">
        <f t="shared" si="67"/>
        <v>9430.4620000000032</v>
      </c>
      <c r="S63" s="88">
        <f t="shared" si="67"/>
        <v>9453.8169999999991</v>
      </c>
      <c r="T63" s="88">
        <f t="shared" ref="T63:Y63" si="68">IFERROR(T47+T48+T50+T51+T52+T53+T54+T57+T58+T61+T62,"n.a.")</f>
        <v>9481.6519999999982</v>
      </c>
      <c r="U63" s="88">
        <f t="shared" si="68"/>
        <v>9591.1040000000012</v>
      </c>
      <c r="V63" s="88">
        <f t="shared" si="68"/>
        <v>9503.4580000000005</v>
      </c>
      <c r="W63" s="88">
        <f t="shared" si="68"/>
        <v>9598.3399999999983</v>
      </c>
      <c r="X63" s="88">
        <f>IFERROR(X47+X48+X50+X51+X52+X53+X54+X57+X58+X61+X62,"n.a.")</f>
        <v>9652.4009999999998</v>
      </c>
      <c r="Y63" s="88">
        <f t="shared" si="68"/>
        <v>9807.0659880000003</v>
      </c>
      <c r="Z63" s="88">
        <f>IFERROR(Z47+Z48+Z50+Z51+Z52+Z53+Z54+Z57+Z58+Z61+Z62,"n.a.")</f>
        <v>9852.5</v>
      </c>
      <c r="AA63" s="88">
        <f>IFERROR(AA47+AA48+AA50+AA51+AA52+AA53+AA54+AA57+AA58+AA61+AA62,"n.a.")</f>
        <v>9475.2125500000002</v>
      </c>
      <c r="AB63" s="94">
        <f>IFERROR(AB47+AB48+AB50+AB51+AB52+AB53+AB54+AB57+AB58+AB61+AB62,"n.a.")</f>
        <v>9421.4490000000005</v>
      </c>
      <c r="AC63" s="88">
        <f>IFERROR(AC47+AC48+AC50+AC51+AC52+AC53+AC54+AC57+AC58+AC61+AC62,"n.a.")</f>
        <v>9379.6240000000016</v>
      </c>
      <c r="AD63" s="88">
        <f>IFERROR(AD47+AD48+AD50+AD51+AD52+AD53+AD54+AD57+AD58+AD61+AD62,"n.a.")</f>
        <v>9380.0810770000007</v>
      </c>
    </row>
    <row r="64" spans="1:33" hidden="1" outlineLevel="1" x14ac:dyDescent="0.2">
      <c r="A64" s="61" t="s">
        <v>51</v>
      </c>
      <c r="B64" s="17"/>
      <c r="C64" s="73">
        <f>'Balance Sheet - FY'!F64</f>
        <v>1055.6389999999999</v>
      </c>
      <c r="D64" s="68">
        <v>925.51599999999996</v>
      </c>
      <c r="E64" s="68">
        <v>937.12900000000002</v>
      </c>
      <c r="F64" s="68">
        <v>969.26800000000003</v>
      </c>
      <c r="G64" s="74">
        <f>'Balance Sheet - FY'!G64</f>
        <v>940.66800000000001</v>
      </c>
      <c r="H64" s="68">
        <v>940.22</v>
      </c>
      <c r="I64" s="68">
        <v>983.25099999999998</v>
      </c>
      <c r="J64" s="85">
        <v>1048.921</v>
      </c>
      <c r="K64" s="74">
        <f>'Balance Sheet - FY'!H64</f>
        <v>1128.4659999999999</v>
      </c>
      <c r="L64" s="68">
        <v>1165.5119999999999</v>
      </c>
      <c r="M64" s="68">
        <v>1165.116</v>
      </c>
      <c r="N64" s="68">
        <v>1103.5440000000001</v>
      </c>
      <c r="O64" s="74">
        <f>'Balance Sheet - FY'!I64</f>
        <v>1093.7539999999999</v>
      </c>
      <c r="P64" s="68">
        <v>1137.383</v>
      </c>
      <c r="Q64" s="68">
        <v>961.50699999999995</v>
      </c>
      <c r="R64" s="68">
        <v>824.68499999999995</v>
      </c>
      <c r="S64" s="74">
        <f>'Balance Sheet - FY'!J64</f>
        <v>836.43700000000001</v>
      </c>
      <c r="T64" s="68">
        <v>874.45399999999995</v>
      </c>
      <c r="U64" s="68">
        <v>956.49400000000003</v>
      </c>
      <c r="V64" s="68">
        <v>973.67200000000003</v>
      </c>
      <c r="W64" s="74">
        <f>'Balance Sheet - FY'!K64</f>
        <v>1092.162</v>
      </c>
      <c r="X64" s="68">
        <v>1221.758</v>
      </c>
      <c r="Y64" s="68">
        <v>1396.788</v>
      </c>
      <c r="Z64" s="68">
        <v>1464.3330000000001</v>
      </c>
      <c r="AA64" s="74">
        <f>'Balance Sheet - FY'!L64</f>
        <v>1457.7108149999999</v>
      </c>
      <c r="AB64" s="85">
        <v>1458.4</v>
      </c>
      <c r="AC64" s="68">
        <v>1418.7149999999999</v>
      </c>
      <c r="AD64" s="68">
        <v>1376.2783529999999</v>
      </c>
      <c r="AE64" s="22"/>
      <c r="AF64" s="22"/>
      <c r="AG64" s="22"/>
    </row>
    <row r="65" spans="1:33" hidden="1" outlineLevel="1" x14ac:dyDescent="0.2">
      <c r="A65" s="61" t="s">
        <v>52</v>
      </c>
      <c r="B65" s="17"/>
      <c r="C65" s="73">
        <f>'Balance Sheet - FY'!F65</f>
        <v>679.32100000000003</v>
      </c>
      <c r="D65" s="68">
        <v>1044.807</v>
      </c>
      <c r="E65" s="68">
        <v>968.36400000000003</v>
      </c>
      <c r="F65" s="68">
        <v>1037.415</v>
      </c>
      <c r="G65" s="74">
        <f>'Balance Sheet - FY'!G65</f>
        <v>652.48699999999997</v>
      </c>
      <c r="H65" s="68">
        <v>875.88499999999999</v>
      </c>
      <c r="I65" s="68">
        <v>864.43499999999995</v>
      </c>
      <c r="J65" s="85">
        <v>967.745</v>
      </c>
      <c r="K65" s="74">
        <f>'Balance Sheet - FY'!H65</f>
        <v>627.96799999999996</v>
      </c>
      <c r="L65" s="68">
        <v>858.44200000000001</v>
      </c>
      <c r="M65" s="68">
        <v>862.12</v>
      </c>
      <c r="N65" s="68">
        <v>976.17700000000002</v>
      </c>
      <c r="O65" s="74">
        <f>'Balance Sheet - FY'!I65</f>
        <v>649.39400000000001</v>
      </c>
      <c r="P65" s="68">
        <v>658.67100000000005</v>
      </c>
      <c r="Q65" s="68">
        <v>627.89200000000005</v>
      </c>
      <c r="R65" s="68">
        <v>949.07</v>
      </c>
      <c r="S65" s="74">
        <f>'Balance Sheet - FY'!J65</f>
        <v>597.66899999999998</v>
      </c>
      <c r="T65" s="68">
        <v>814.09699999999998</v>
      </c>
      <c r="U65" s="68">
        <v>802.47199999999998</v>
      </c>
      <c r="V65" s="68">
        <v>939.37599999999998</v>
      </c>
      <c r="W65" s="74">
        <f>'Balance Sheet - FY'!K65</f>
        <v>659.20899999999995</v>
      </c>
      <c r="X65" s="68">
        <v>908.04600000000005</v>
      </c>
      <c r="Y65" s="68">
        <v>936.35599999999999</v>
      </c>
      <c r="Z65" s="68">
        <v>1169.0440000000001</v>
      </c>
      <c r="AA65" s="74">
        <f>'Balance Sheet - FY'!L65</f>
        <v>636.45100000000002</v>
      </c>
      <c r="AB65" s="85">
        <v>928.5</v>
      </c>
      <c r="AC65" s="68">
        <v>895.101</v>
      </c>
      <c r="AD65" s="68">
        <v>1092.726737</v>
      </c>
      <c r="AE65" s="22"/>
      <c r="AF65" s="22"/>
      <c r="AG65" s="22"/>
    </row>
    <row r="66" spans="1:33" hidden="1" outlineLevel="2" x14ac:dyDescent="0.2">
      <c r="A66" s="89" t="s">
        <v>132</v>
      </c>
      <c r="B66" s="17"/>
      <c r="C66" s="73">
        <f>'Balance Sheet - FY'!F66</f>
        <v>29.951000000000001</v>
      </c>
      <c r="D66" s="85">
        <v>17.489999999999998</v>
      </c>
      <c r="E66" s="85">
        <v>9.673</v>
      </c>
      <c r="F66" s="68">
        <v>18.959</v>
      </c>
      <c r="G66" s="74">
        <f>'Balance Sheet - FY'!G66</f>
        <v>36.511000000000003</v>
      </c>
      <c r="H66" s="85">
        <v>29.439</v>
      </c>
      <c r="I66" s="85">
        <v>28.167000000000002</v>
      </c>
      <c r="J66" s="85">
        <v>28.044</v>
      </c>
      <c r="K66" s="74">
        <f>'Balance Sheet - FY'!H66</f>
        <v>27.32</v>
      </c>
      <c r="L66" s="85">
        <v>21.93</v>
      </c>
      <c r="M66" s="85">
        <v>35.613999999999997</v>
      </c>
      <c r="N66" s="85">
        <v>40.499000000000002</v>
      </c>
      <c r="O66" s="74">
        <f>'Balance Sheet - FY'!I66</f>
        <v>35.503</v>
      </c>
      <c r="P66" s="85">
        <v>42.985999999999997</v>
      </c>
      <c r="Q66" s="85">
        <v>44.8</v>
      </c>
      <c r="R66" s="85">
        <v>68.192999999999998</v>
      </c>
      <c r="S66" s="74">
        <f>'Balance Sheet - FY'!J66</f>
        <v>102.574</v>
      </c>
      <c r="T66" s="85">
        <v>89.153000000000006</v>
      </c>
      <c r="U66" s="85">
        <v>97.468000000000004</v>
      </c>
      <c r="V66" s="85">
        <v>80.465999999999994</v>
      </c>
      <c r="W66" s="74">
        <f>'Balance Sheet - FY'!K66</f>
        <v>81.819000000000003</v>
      </c>
      <c r="X66" s="68">
        <v>103.63500000000001</v>
      </c>
      <c r="Y66" s="85">
        <v>111.751</v>
      </c>
      <c r="Z66" s="68">
        <v>119.2</v>
      </c>
      <c r="AA66" s="74">
        <f>'Balance Sheet - FY'!L66</f>
        <v>270.91699999999997</v>
      </c>
      <c r="AB66" s="85">
        <v>93.62</v>
      </c>
      <c r="AC66" s="85">
        <v>89.98</v>
      </c>
      <c r="AD66" s="85">
        <v>99.108000000000004</v>
      </c>
      <c r="AE66" s="22"/>
      <c r="AF66" s="22"/>
      <c r="AG66" s="22"/>
    </row>
    <row r="67" spans="1:33" hidden="1" outlineLevel="2" x14ac:dyDescent="0.2">
      <c r="A67" s="89" t="s">
        <v>133</v>
      </c>
      <c r="B67" s="17"/>
      <c r="C67" s="73">
        <f>'Balance Sheet - FY'!F67</f>
        <v>245.67100000000002</v>
      </c>
      <c r="D67" s="85">
        <v>451.19900000000001</v>
      </c>
      <c r="E67" s="85">
        <v>342.74900000000002</v>
      </c>
      <c r="F67" s="68">
        <v>344.8</v>
      </c>
      <c r="G67" s="74">
        <f>'Balance Sheet - FY'!G67</f>
        <v>364.02799999999996</v>
      </c>
      <c r="H67" s="85">
        <v>427.75899999999996</v>
      </c>
      <c r="I67" s="85">
        <v>388.89700000000005</v>
      </c>
      <c r="J67" s="85">
        <v>396.31900000000002</v>
      </c>
      <c r="K67" s="74">
        <f>'Balance Sheet - FY'!H67</f>
        <v>389.33100000000002</v>
      </c>
      <c r="L67" s="85">
        <v>460.41500000000002</v>
      </c>
      <c r="M67" s="85">
        <v>473.37800000000004</v>
      </c>
      <c r="N67" s="85">
        <v>475.14600000000002</v>
      </c>
      <c r="O67" s="74">
        <f>'Balance Sheet - FY'!I67</f>
        <v>416.35500000000002</v>
      </c>
      <c r="P67" s="85">
        <v>459.94</v>
      </c>
      <c r="Q67" s="85">
        <v>435.22800000000001</v>
      </c>
      <c r="R67" s="85">
        <v>387.51400000000001</v>
      </c>
      <c r="S67" s="74">
        <f>'Balance Sheet - FY'!J67</f>
        <v>366.62</v>
      </c>
      <c r="T67" s="85">
        <v>402.11499999999995</v>
      </c>
      <c r="U67" s="85">
        <v>465.33499999999998</v>
      </c>
      <c r="V67" s="85">
        <v>400.38299999999998</v>
      </c>
      <c r="W67" s="74">
        <f>'Balance Sheet - FY'!K67</f>
        <v>388.75799999999998</v>
      </c>
      <c r="X67" s="85">
        <v>491.39200000000005</v>
      </c>
      <c r="Y67" s="85">
        <v>415.82100000000003</v>
      </c>
      <c r="Z67" s="68">
        <v>448.9</v>
      </c>
      <c r="AA67" s="74">
        <f>'Balance Sheet - FY'!L67</f>
        <v>470.3</v>
      </c>
      <c r="AB67" s="85">
        <f>595.96-AB66</f>
        <v>502.34000000000003</v>
      </c>
      <c r="AC67" s="85">
        <v>521.39</v>
      </c>
      <c r="AD67" s="85">
        <f>561.651-AD66</f>
        <v>462.54299999999995</v>
      </c>
      <c r="AE67" s="22"/>
      <c r="AF67" s="22"/>
      <c r="AG67" s="22"/>
    </row>
    <row r="68" spans="1:33" hidden="1" outlineLevel="1" x14ac:dyDescent="0.2">
      <c r="A68" s="61" t="s">
        <v>66</v>
      </c>
      <c r="B68" s="17"/>
      <c r="C68" s="80">
        <f t="shared" ref="C68:J68" si="69">IFERROR(C66+C67,"n.a.")</f>
        <v>275.62200000000001</v>
      </c>
      <c r="D68" s="80">
        <f t="shared" si="69"/>
        <v>468.68900000000002</v>
      </c>
      <c r="E68" s="80">
        <f t="shared" si="69"/>
        <v>352.42200000000003</v>
      </c>
      <c r="F68" s="80">
        <f t="shared" si="69"/>
        <v>363.75900000000001</v>
      </c>
      <c r="G68" s="80">
        <f t="shared" si="69"/>
        <v>400.53899999999999</v>
      </c>
      <c r="H68" s="80">
        <f t="shared" si="69"/>
        <v>457.19799999999998</v>
      </c>
      <c r="I68" s="80">
        <f t="shared" si="69"/>
        <v>417.06400000000008</v>
      </c>
      <c r="J68" s="80">
        <f t="shared" si="69"/>
        <v>424.363</v>
      </c>
      <c r="K68" s="80">
        <f t="shared" ref="K68:AC68" si="70">IFERROR(K66+K67,"n.a.")</f>
        <v>416.65100000000001</v>
      </c>
      <c r="L68" s="80">
        <f t="shared" si="70"/>
        <v>482.34500000000003</v>
      </c>
      <c r="M68" s="80">
        <f t="shared" si="70"/>
        <v>508.99200000000002</v>
      </c>
      <c r="N68" s="80">
        <f t="shared" si="70"/>
        <v>515.64499999999998</v>
      </c>
      <c r="O68" s="80">
        <f t="shared" si="70"/>
        <v>451.858</v>
      </c>
      <c r="P68" s="80">
        <f t="shared" si="70"/>
        <v>502.92599999999999</v>
      </c>
      <c r="Q68" s="80">
        <f t="shared" si="70"/>
        <v>480.02800000000002</v>
      </c>
      <c r="R68" s="80">
        <f t="shared" si="70"/>
        <v>455.70699999999999</v>
      </c>
      <c r="S68" s="80">
        <f t="shared" si="70"/>
        <v>469.19400000000002</v>
      </c>
      <c r="T68" s="80">
        <f t="shared" si="70"/>
        <v>491.26799999999997</v>
      </c>
      <c r="U68" s="80">
        <f t="shared" si="70"/>
        <v>562.803</v>
      </c>
      <c r="V68" s="80">
        <f t="shared" si="70"/>
        <v>480.84899999999999</v>
      </c>
      <c r="W68" s="80">
        <f t="shared" si="70"/>
        <v>470.577</v>
      </c>
      <c r="X68" s="80">
        <f t="shared" si="70"/>
        <v>595.02700000000004</v>
      </c>
      <c r="Y68" s="80">
        <f t="shared" si="70"/>
        <v>527.572</v>
      </c>
      <c r="Z68" s="80">
        <f t="shared" si="70"/>
        <v>568.1</v>
      </c>
      <c r="AA68" s="80">
        <f t="shared" si="70"/>
        <v>741.21699999999998</v>
      </c>
      <c r="AB68" s="79">
        <f t="shared" si="70"/>
        <v>595.96</v>
      </c>
      <c r="AC68" s="80">
        <f t="shared" si="70"/>
        <v>611.37</v>
      </c>
      <c r="AD68" s="80">
        <v>561.65053399999999</v>
      </c>
      <c r="AE68" s="22"/>
      <c r="AF68" s="22"/>
      <c r="AG68" s="22"/>
    </row>
    <row r="69" spans="1:33" hidden="1" outlineLevel="1" x14ac:dyDescent="0.2">
      <c r="A69" s="61" t="s">
        <v>238</v>
      </c>
      <c r="B69" s="17"/>
      <c r="C69" s="73">
        <f>'Balance Sheet - FY'!F69</f>
        <v>0</v>
      </c>
      <c r="D69" s="42">
        <v>0</v>
      </c>
      <c r="E69" s="42">
        <v>0</v>
      </c>
      <c r="F69" s="42">
        <v>0</v>
      </c>
      <c r="G69" s="74">
        <f>'Balance Sheet - FY'!G69</f>
        <v>0</v>
      </c>
      <c r="H69" s="42">
        <v>9.0850000000000009</v>
      </c>
      <c r="I69" s="42">
        <v>9.298</v>
      </c>
      <c r="J69" s="67">
        <v>20.306000000000001</v>
      </c>
      <c r="K69" s="74">
        <f>'Balance Sheet - FY'!H69</f>
        <v>27.196000000000002</v>
      </c>
      <c r="L69" s="42">
        <v>8.5009999999999994</v>
      </c>
      <c r="M69" s="42">
        <v>12.792</v>
      </c>
      <c r="N69" s="42">
        <v>14.725</v>
      </c>
      <c r="O69" s="74">
        <f>'Balance Sheet - FY'!I69</f>
        <v>38.119</v>
      </c>
      <c r="P69" s="68">
        <v>12.002000000000001</v>
      </c>
      <c r="Q69" s="68">
        <v>18.878</v>
      </c>
      <c r="R69" s="68">
        <v>34.21</v>
      </c>
      <c r="S69" s="74">
        <f>'Balance Sheet - FY'!J69</f>
        <v>58.944000000000003</v>
      </c>
      <c r="T69" s="68">
        <v>44.197000000000003</v>
      </c>
      <c r="U69" s="85">
        <v>47.978999999999999</v>
      </c>
      <c r="V69" s="68">
        <v>69.366</v>
      </c>
      <c r="W69" s="74">
        <f>'Balance Sheet - FY'!K69</f>
        <v>113.901</v>
      </c>
      <c r="X69" s="68">
        <v>97.793000000000006</v>
      </c>
      <c r="Y69" s="68">
        <v>138.72800000000001</v>
      </c>
      <c r="Z69" s="68">
        <v>215.1</v>
      </c>
      <c r="AA69" s="74">
        <f>'Balance Sheet - FY'!L69</f>
        <v>246.883712</v>
      </c>
      <c r="AB69" s="85">
        <v>190.8</v>
      </c>
      <c r="AC69" s="68">
        <v>220.70500000000001</v>
      </c>
      <c r="AD69" s="68">
        <v>255.82747700000002</v>
      </c>
      <c r="AE69" s="22"/>
      <c r="AF69" s="22"/>
      <c r="AG69" s="22"/>
    </row>
    <row r="70" spans="1:33" hidden="1" outlineLevel="1" x14ac:dyDescent="0.2">
      <c r="A70" s="61" t="s">
        <v>69</v>
      </c>
      <c r="B70" s="17"/>
      <c r="C70" s="73">
        <f>'Balance Sheet - FY'!F70</f>
        <v>48.597000000000001</v>
      </c>
      <c r="D70" s="68">
        <v>24.864000000000001</v>
      </c>
      <c r="E70" s="68">
        <v>20.686</v>
      </c>
      <c r="F70" s="68">
        <v>12.945</v>
      </c>
      <c r="G70" s="74">
        <f>'Balance Sheet - FY'!G70</f>
        <v>33.027000000000001</v>
      </c>
      <c r="H70" s="68">
        <v>0</v>
      </c>
      <c r="I70" s="68">
        <v>0</v>
      </c>
      <c r="J70" s="85">
        <v>0</v>
      </c>
      <c r="K70" s="74">
        <f>'Balance Sheet - FY'!H70</f>
        <v>0</v>
      </c>
      <c r="L70" s="68">
        <v>0</v>
      </c>
      <c r="M70" s="68">
        <v>0</v>
      </c>
      <c r="N70" s="68">
        <v>0</v>
      </c>
      <c r="O70" s="74">
        <f>'Balance Sheet - FY'!I70</f>
        <v>0</v>
      </c>
      <c r="P70" s="68">
        <v>0</v>
      </c>
      <c r="Q70" s="68">
        <v>0</v>
      </c>
      <c r="R70" s="68">
        <v>0</v>
      </c>
      <c r="S70" s="74">
        <f>'Balance Sheet - FY'!J70</f>
        <v>0</v>
      </c>
      <c r="T70" s="68">
        <v>0</v>
      </c>
      <c r="U70" s="68">
        <v>0</v>
      </c>
      <c r="V70" s="68">
        <v>0</v>
      </c>
      <c r="W70" s="74">
        <f>'Balance Sheet - FY'!K70</f>
        <v>0</v>
      </c>
      <c r="X70" s="68">
        <v>0</v>
      </c>
      <c r="Y70" s="68">
        <v>0</v>
      </c>
      <c r="Z70" s="68">
        <v>0</v>
      </c>
      <c r="AA70" s="74">
        <f>'Balance Sheet - FY'!L70</f>
        <v>0</v>
      </c>
      <c r="AB70" s="85">
        <v>0</v>
      </c>
      <c r="AC70" s="68">
        <v>0</v>
      </c>
      <c r="AD70" s="68">
        <v>0</v>
      </c>
      <c r="AE70" s="22"/>
      <c r="AF70" s="22"/>
      <c r="AG70" s="22"/>
    </row>
    <row r="71" spans="1:33" hidden="1" outlineLevel="1" x14ac:dyDescent="0.2">
      <c r="A71" s="61" t="s">
        <v>70</v>
      </c>
      <c r="B71" s="17"/>
      <c r="C71" s="73">
        <f>'Balance Sheet - FY'!F71</f>
        <v>1532.9770000000001</v>
      </c>
      <c r="D71" s="68">
        <v>457.99200000000002</v>
      </c>
      <c r="E71" s="68">
        <v>510.47199999999998</v>
      </c>
      <c r="F71" s="68">
        <v>392.35599999999999</v>
      </c>
      <c r="G71" s="74">
        <f>'Balance Sheet - FY'!G71</f>
        <v>1118.4369999999999</v>
      </c>
      <c r="H71" s="68">
        <v>592.13499999999999</v>
      </c>
      <c r="I71" s="68">
        <v>580.64099999999996</v>
      </c>
      <c r="J71" s="85">
        <v>549.34500000000003</v>
      </c>
      <c r="K71" s="74">
        <f>'Balance Sheet - FY'!H71</f>
        <v>1326.9</v>
      </c>
      <c r="L71" s="68">
        <v>962.95699999999999</v>
      </c>
      <c r="M71" s="68">
        <v>741.76700000000005</v>
      </c>
      <c r="N71" s="68">
        <v>781.23099999999999</v>
      </c>
      <c r="O71" s="74">
        <f>'Balance Sheet - FY'!I71</f>
        <v>1609.8209999999999</v>
      </c>
      <c r="P71" s="68">
        <v>797.80899999999997</v>
      </c>
      <c r="Q71" s="68">
        <v>1455.229</v>
      </c>
      <c r="R71" s="68">
        <v>1115.557</v>
      </c>
      <c r="S71" s="74">
        <f>'Balance Sheet - FY'!J71</f>
        <v>2275.4760000000001</v>
      </c>
      <c r="T71" s="68">
        <v>711.64499999999998</v>
      </c>
      <c r="U71" s="68">
        <v>785.01499999999999</v>
      </c>
      <c r="V71" s="68">
        <v>770.54</v>
      </c>
      <c r="W71" s="74">
        <f>'Balance Sheet - FY'!K71</f>
        <v>1884.6489999999999</v>
      </c>
      <c r="X71" s="68">
        <v>842.87199999999996</v>
      </c>
      <c r="Y71" s="68">
        <v>889.66399999999999</v>
      </c>
      <c r="Z71" s="68">
        <v>1317.1</v>
      </c>
      <c r="AA71" s="74">
        <f>'Balance Sheet - FY'!L71</f>
        <v>1289.7440419999998</v>
      </c>
      <c r="AB71" s="85">
        <v>1189</v>
      </c>
      <c r="AC71" s="68">
        <v>1256.02</v>
      </c>
      <c r="AD71" s="68">
        <v>665.81378300000006</v>
      </c>
      <c r="AE71" s="22"/>
      <c r="AF71" s="22"/>
      <c r="AG71" s="22"/>
    </row>
    <row r="72" spans="1:33" hidden="1" outlineLevel="1" x14ac:dyDescent="0.2">
      <c r="A72" s="61" t="s">
        <v>67</v>
      </c>
      <c r="B72" s="17"/>
      <c r="C72" s="73">
        <f>'Balance Sheet - FY'!F72</f>
        <v>64.394999999999996</v>
      </c>
      <c r="D72" s="68">
        <v>84.311000000000007</v>
      </c>
      <c r="E72" s="68">
        <v>66.856999999999999</v>
      </c>
      <c r="F72" s="68">
        <v>58.698999999999998</v>
      </c>
      <c r="G72" s="74">
        <f>'Balance Sheet - FY'!G72</f>
        <v>35.460999999999999</v>
      </c>
      <c r="H72" s="68">
        <v>27.72</v>
      </c>
      <c r="I72" s="68">
        <v>49.091000000000001</v>
      </c>
      <c r="J72" s="85">
        <v>58.158999999999999</v>
      </c>
      <c r="K72" s="74">
        <f>'Balance Sheet - FY'!H72</f>
        <v>41.393000000000001</v>
      </c>
      <c r="L72" s="68">
        <v>42.247999999999998</v>
      </c>
      <c r="M72" s="68">
        <v>46.389000000000003</v>
      </c>
      <c r="N72" s="68">
        <v>69.304000000000002</v>
      </c>
      <c r="O72" s="74">
        <f>'Balance Sheet - FY'!I72</f>
        <v>41.494</v>
      </c>
      <c r="P72" s="68">
        <v>37.249000000000002</v>
      </c>
      <c r="Q72" s="85">
        <v>50.984000000000002</v>
      </c>
      <c r="R72" s="85">
        <v>48.47</v>
      </c>
      <c r="S72" s="74">
        <f>'Balance Sheet - FY'!J72</f>
        <v>29.152999999999999</v>
      </c>
      <c r="T72" s="68">
        <v>31.765999999999998</v>
      </c>
      <c r="U72" s="85">
        <v>35.610999999999997</v>
      </c>
      <c r="V72" s="85">
        <v>41.494</v>
      </c>
      <c r="W72" s="74">
        <f>'Balance Sheet - FY'!K72</f>
        <v>17.773</v>
      </c>
      <c r="X72" s="68">
        <v>15.654999999999999</v>
      </c>
      <c r="Y72" s="85">
        <v>15.223237999999998</v>
      </c>
      <c r="Z72" s="85">
        <v>24.6</v>
      </c>
      <c r="AA72" s="74">
        <f>'Balance Sheet - FY'!L72</f>
        <v>27.648598999999997</v>
      </c>
      <c r="AB72" s="85">
        <v>29.9</v>
      </c>
      <c r="AC72" s="85">
        <v>30.145</v>
      </c>
      <c r="AD72" s="85">
        <v>32.886095000000005</v>
      </c>
      <c r="AE72" s="22"/>
      <c r="AF72" s="22"/>
      <c r="AG72" s="22"/>
    </row>
    <row r="73" spans="1:33" hidden="1" outlineLevel="2" x14ac:dyDescent="0.2">
      <c r="A73" s="89" t="s">
        <v>130</v>
      </c>
      <c r="B73" s="17"/>
      <c r="C73" s="73">
        <f>'Balance Sheet - FY'!F73</f>
        <v>3.718</v>
      </c>
      <c r="D73" s="85">
        <v>21.526</v>
      </c>
      <c r="E73" s="85">
        <v>27.617000000000001</v>
      </c>
      <c r="F73" s="68">
        <v>19.175000000000001</v>
      </c>
      <c r="G73" s="74">
        <f>'Balance Sheet - FY'!G73</f>
        <v>21.413</v>
      </c>
      <c r="H73" s="85">
        <v>17.084</v>
      </c>
      <c r="I73" s="85">
        <v>63.634</v>
      </c>
      <c r="J73" s="85">
        <v>74.382999999999996</v>
      </c>
      <c r="K73" s="74">
        <f>'Balance Sheet - FY'!H73</f>
        <v>91.245000000000005</v>
      </c>
      <c r="L73" s="85">
        <v>79.519000000000005</v>
      </c>
      <c r="M73" s="85">
        <v>54.466999999999999</v>
      </c>
      <c r="N73" s="85">
        <v>68.061000000000007</v>
      </c>
      <c r="O73" s="74">
        <f>'Balance Sheet - FY'!I73</f>
        <v>32.090000000000003</v>
      </c>
      <c r="P73" s="85">
        <v>123.60299999999999</v>
      </c>
      <c r="Q73" s="85">
        <v>47.040999999999997</v>
      </c>
      <c r="R73" s="85">
        <v>65.477999999999994</v>
      </c>
      <c r="S73" s="74">
        <f>'Balance Sheet - FY'!J73</f>
        <v>13.339</v>
      </c>
      <c r="T73" s="85">
        <v>45.423999999999999</v>
      </c>
      <c r="U73" s="85">
        <v>27.829000000000001</v>
      </c>
      <c r="V73" s="85">
        <v>42.886000000000003</v>
      </c>
      <c r="W73" s="74">
        <f>'Balance Sheet - FY'!K73</f>
        <v>38.848999999999997</v>
      </c>
      <c r="X73" s="68">
        <v>55.610999999999997</v>
      </c>
      <c r="Y73" s="85">
        <v>18.259</v>
      </c>
      <c r="Z73" s="85">
        <v>29.3</v>
      </c>
      <c r="AA73" s="74">
        <f>'Balance Sheet - FY'!L73</f>
        <v>14.223000000000001</v>
      </c>
      <c r="AB73" s="85">
        <v>6.1070000000000002</v>
      </c>
      <c r="AC73" s="85">
        <v>4.5140000000000002</v>
      </c>
      <c r="AD73" s="85">
        <v>4.6429999999999998</v>
      </c>
      <c r="AE73" s="22"/>
      <c r="AF73" s="22"/>
      <c r="AG73" s="22"/>
    </row>
    <row r="74" spans="1:33" hidden="1" outlineLevel="2" x14ac:dyDescent="0.2">
      <c r="A74" s="89" t="s">
        <v>131</v>
      </c>
      <c r="B74" s="17"/>
      <c r="C74" s="73">
        <f>'Balance Sheet - FY'!F74</f>
        <v>20.271000000000001</v>
      </c>
      <c r="D74" s="85">
        <v>14.489999999999998</v>
      </c>
      <c r="E74" s="85">
        <v>17.59</v>
      </c>
      <c r="F74" s="68">
        <v>11.524000000000001</v>
      </c>
      <c r="G74" s="74">
        <f>'Balance Sheet - FY'!G74</f>
        <v>6.3569999999999993</v>
      </c>
      <c r="H74" s="85">
        <v>6.1960000000000015</v>
      </c>
      <c r="I74" s="85">
        <v>12.569999999999993</v>
      </c>
      <c r="J74" s="85">
        <v>7.21</v>
      </c>
      <c r="K74" s="74">
        <f>'Balance Sheet - FY'!H74</f>
        <v>7.3220000000000001</v>
      </c>
      <c r="L74" s="85">
        <v>4.9519999999999982</v>
      </c>
      <c r="M74" s="85">
        <v>4.6180000000000021</v>
      </c>
      <c r="N74" s="85">
        <v>4.7729999999999997</v>
      </c>
      <c r="O74" s="74">
        <f>'Balance Sheet - FY'!I74</f>
        <v>5.0579999999999998</v>
      </c>
      <c r="P74" s="85">
        <v>18.603999999999999</v>
      </c>
      <c r="Q74" s="85">
        <v>4.6560000000000059</v>
      </c>
      <c r="R74" s="85">
        <v>5.3640000000000043</v>
      </c>
      <c r="S74" s="74">
        <f>'Balance Sheet - FY'!J74</f>
        <v>4.5609999999999999</v>
      </c>
      <c r="T74" s="85">
        <v>4.7419999999999973</v>
      </c>
      <c r="U74" s="85">
        <v>5.0510000000000019</v>
      </c>
      <c r="V74" s="85">
        <v>4.6999999999999957</v>
      </c>
      <c r="W74" s="74">
        <f>'Balance Sheet - FY'!K74</f>
        <v>7.713000000000001</v>
      </c>
      <c r="X74" s="85">
        <f>63.337-X73</f>
        <v>7.7260000000000062</v>
      </c>
      <c r="Y74" s="85">
        <f>26.056-Y73</f>
        <v>7.7970000000000006</v>
      </c>
      <c r="Z74" s="85">
        <v>8.1</v>
      </c>
      <c r="AA74" s="74">
        <f>'Balance Sheet - FY'!L74</f>
        <v>8.4580000000000002</v>
      </c>
      <c r="AB74" s="85">
        <f>15.369-AB73</f>
        <v>9.2620000000000005</v>
      </c>
      <c r="AC74" s="85">
        <v>11.358000000000001</v>
      </c>
      <c r="AD74" s="85">
        <v>3.383</v>
      </c>
      <c r="AE74" s="22"/>
      <c r="AF74" s="22"/>
      <c r="AG74" s="22"/>
    </row>
    <row r="75" spans="1:33" hidden="1" outlineLevel="1" x14ac:dyDescent="0.2">
      <c r="A75" s="61" t="s">
        <v>71</v>
      </c>
      <c r="B75" s="17"/>
      <c r="C75" s="80">
        <f t="shared" ref="C75:J75" si="71">IFERROR(C73+C74,"n.a.")</f>
        <v>23.989000000000001</v>
      </c>
      <c r="D75" s="80">
        <f t="shared" si="71"/>
        <v>36.015999999999998</v>
      </c>
      <c r="E75" s="80">
        <f t="shared" si="71"/>
        <v>45.207000000000001</v>
      </c>
      <c r="F75" s="80">
        <f t="shared" si="71"/>
        <v>30.699000000000002</v>
      </c>
      <c r="G75" s="80">
        <f t="shared" si="71"/>
        <v>27.77</v>
      </c>
      <c r="H75" s="80">
        <f t="shared" si="71"/>
        <v>23.28</v>
      </c>
      <c r="I75" s="80">
        <f t="shared" si="71"/>
        <v>76.203999999999994</v>
      </c>
      <c r="J75" s="80">
        <f t="shared" si="71"/>
        <v>81.592999999999989</v>
      </c>
      <c r="K75" s="80">
        <f t="shared" ref="K75:AC75" si="72">IFERROR(K73+K74,"n.a.")</f>
        <v>98.567000000000007</v>
      </c>
      <c r="L75" s="80">
        <f t="shared" si="72"/>
        <v>84.471000000000004</v>
      </c>
      <c r="M75" s="80">
        <f t="shared" si="72"/>
        <v>59.085000000000001</v>
      </c>
      <c r="N75" s="80">
        <f t="shared" si="72"/>
        <v>72.834000000000003</v>
      </c>
      <c r="O75" s="80">
        <f t="shared" si="72"/>
        <v>37.148000000000003</v>
      </c>
      <c r="P75" s="80">
        <f t="shared" si="72"/>
        <v>142.20699999999999</v>
      </c>
      <c r="Q75" s="80">
        <f t="shared" si="72"/>
        <v>51.697000000000003</v>
      </c>
      <c r="R75" s="80">
        <f t="shared" si="72"/>
        <v>70.841999999999999</v>
      </c>
      <c r="S75" s="80">
        <f t="shared" si="72"/>
        <v>17.899999999999999</v>
      </c>
      <c r="T75" s="80">
        <f t="shared" si="72"/>
        <v>50.165999999999997</v>
      </c>
      <c r="U75" s="80">
        <f t="shared" si="72"/>
        <v>32.880000000000003</v>
      </c>
      <c r="V75" s="80">
        <f t="shared" si="72"/>
        <v>47.585999999999999</v>
      </c>
      <c r="W75" s="80">
        <f t="shared" si="72"/>
        <v>46.561999999999998</v>
      </c>
      <c r="X75" s="80">
        <f t="shared" si="72"/>
        <v>63.337000000000003</v>
      </c>
      <c r="Y75" s="80">
        <f t="shared" si="72"/>
        <v>26.056000000000001</v>
      </c>
      <c r="Z75" s="80">
        <f t="shared" si="72"/>
        <v>37.4</v>
      </c>
      <c r="AA75" s="80">
        <f t="shared" si="72"/>
        <v>22.681000000000001</v>
      </c>
      <c r="AB75" s="80">
        <f t="shared" si="72"/>
        <v>15.369</v>
      </c>
      <c r="AC75" s="80">
        <f t="shared" si="72"/>
        <v>15.872</v>
      </c>
      <c r="AD75" s="80">
        <v>8.0260549999999995</v>
      </c>
      <c r="AE75" s="22"/>
      <c r="AF75" s="22"/>
      <c r="AG75" s="22"/>
    </row>
    <row r="76" spans="1:33" s="22" customFormat="1" collapsed="1" x14ac:dyDescent="0.2">
      <c r="A76" s="91" t="s">
        <v>72</v>
      </c>
      <c r="B76" s="87"/>
      <c r="C76" s="88">
        <f t="shared" ref="C76:P76" si="73">IFERROR(C64+C65+C68+C69+C70+C71+C72+C75,"n.a.")</f>
        <v>3680.54</v>
      </c>
      <c r="D76" s="88">
        <f t="shared" si="73"/>
        <v>3042.1950000000002</v>
      </c>
      <c r="E76" s="88">
        <f t="shared" si="73"/>
        <v>2901.1370000000002</v>
      </c>
      <c r="F76" s="88">
        <f t="shared" si="73"/>
        <v>2865.1410000000005</v>
      </c>
      <c r="G76" s="88">
        <f t="shared" si="73"/>
        <v>3208.3889999999997</v>
      </c>
      <c r="H76" s="88">
        <f t="shared" si="73"/>
        <v>2925.5230000000001</v>
      </c>
      <c r="I76" s="88">
        <f t="shared" si="73"/>
        <v>2979.9839999999999</v>
      </c>
      <c r="J76" s="88">
        <f t="shared" si="73"/>
        <v>3150.4320000000002</v>
      </c>
      <c r="K76" s="88">
        <f t="shared" si="73"/>
        <v>3667.1409999999996</v>
      </c>
      <c r="L76" s="88">
        <f t="shared" si="73"/>
        <v>3604.4760000000001</v>
      </c>
      <c r="M76" s="88">
        <f t="shared" si="73"/>
        <v>3396.2610000000004</v>
      </c>
      <c r="N76" s="88">
        <f t="shared" si="73"/>
        <v>3533.46</v>
      </c>
      <c r="O76" s="88">
        <f t="shared" si="73"/>
        <v>3921.5880000000002</v>
      </c>
      <c r="P76" s="88">
        <f t="shared" si="73"/>
        <v>3288.2469999999998</v>
      </c>
      <c r="Q76" s="88">
        <f t="shared" ref="Q76:AD76" si="74">IFERROR(Q64+Q65+Q68+Q69+Q70+Q71+Q72+Q75,"n.a.")</f>
        <v>3646.2149999999997</v>
      </c>
      <c r="R76" s="88">
        <f t="shared" si="74"/>
        <v>3498.5410000000002</v>
      </c>
      <c r="S76" s="88">
        <f t="shared" si="74"/>
        <v>4284.7730000000001</v>
      </c>
      <c r="T76" s="88">
        <f t="shared" si="74"/>
        <v>3017.5930000000003</v>
      </c>
      <c r="U76" s="88">
        <f t="shared" si="74"/>
        <v>3223.2539999999995</v>
      </c>
      <c r="V76" s="88">
        <f t="shared" si="74"/>
        <v>3322.8829999999998</v>
      </c>
      <c r="W76" s="88">
        <f t="shared" si="74"/>
        <v>4284.8329999999996</v>
      </c>
      <c r="X76" s="88">
        <f t="shared" si="74"/>
        <v>3744.4880000000003</v>
      </c>
      <c r="Y76" s="88">
        <f t="shared" si="74"/>
        <v>3930.3872380000003</v>
      </c>
      <c r="Z76" s="88">
        <f t="shared" si="74"/>
        <v>4795.6769999999997</v>
      </c>
      <c r="AA76" s="88">
        <f t="shared" si="74"/>
        <v>4422.3361679999989</v>
      </c>
      <c r="AB76" s="88">
        <f t="shared" si="74"/>
        <v>4407.9289999999992</v>
      </c>
      <c r="AC76" s="88">
        <f t="shared" si="74"/>
        <v>4447.9280000000008</v>
      </c>
      <c r="AD76" s="88">
        <f t="shared" si="74"/>
        <v>3993.2090339999991</v>
      </c>
    </row>
    <row r="77" spans="1:33" hidden="1" outlineLevel="1" x14ac:dyDescent="0.2">
      <c r="A77" s="29" t="s">
        <v>2</v>
      </c>
      <c r="B77" s="17"/>
      <c r="C77" s="73">
        <f>'Balance Sheet - FY'!F77</f>
        <v>0</v>
      </c>
      <c r="D77" s="68">
        <v>118.33</v>
      </c>
      <c r="E77" s="85">
        <v>0</v>
      </c>
      <c r="F77" s="68">
        <v>91.352999999999994</v>
      </c>
      <c r="G77" s="74">
        <f>'Balance Sheet - FY'!G77</f>
        <v>60.728999999999999</v>
      </c>
      <c r="H77" s="68">
        <v>51.256999999999998</v>
      </c>
      <c r="I77" s="85">
        <v>38.610999999999997</v>
      </c>
      <c r="J77" s="85">
        <v>11.433999999999999</v>
      </c>
      <c r="K77" s="74">
        <f>'Balance Sheet - FY'!H77</f>
        <v>10.677</v>
      </c>
      <c r="L77" s="68">
        <v>0.79600000000000004</v>
      </c>
      <c r="M77" s="68">
        <v>0.8</v>
      </c>
      <c r="N77" s="68">
        <v>0.8</v>
      </c>
      <c r="O77" s="74">
        <f>'Balance Sheet - FY'!I77</f>
        <v>0</v>
      </c>
      <c r="P77" s="68">
        <v>0</v>
      </c>
      <c r="Q77" s="68">
        <v>0</v>
      </c>
      <c r="R77" s="68">
        <v>0</v>
      </c>
      <c r="S77" s="74">
        <f>'Balance Sheet - FY'!J77</f>
        <v>0</v>
      </c>
      <c r="T77" s="68">
        <v>0</v>
      </c>
      <c r="U77" s="68">
        <v>0</v>
      </c>
      <c r="V77" s="68">
        <v>0</v>
      </c>
      <c r="W77" s="74">
        <f>'Balance Sheet - FY'!K77</f>
        <v>0</v>
      </c>
      <c r="X77" s="68">
        <v>0</v>
      </c>
      <c r="Y77" s="68">
        <v>0</v>
      </c>
      <c r="Z77" s="68">
        <v>0</v>
      </c>
      <c r="AA77" s="74">
        <f>'Balance Sheet - FY'!L77</f>
        <v>0</v>
      </c>
      <c r="AB77" s="68">
        <v>0</v>
      </c>
      <c r="AC77" s="68">
        <v>0</v>
      </c>
      <c r="AD77" s="68">
        <v>0</v>
      </c>
      <c r="AE77" s="22"/>
      <c r="AF77" s="22"/>
      <c r="AG77" s="22"/>
    </row>
    <row r="78" spans="1:33" s="22" customFormat="1" collapsed="1" x14ac:dyDescent="0.2">
      <c r="A78" s="99" t="s">
        <v>3</v>
      </c>
      <c r="B78" s="99"/>
      <c r="C78" s="100">
        <f t="shared" ref="C78:Q78" si="75">IFERROR(C63+C76+C77,"n.a.")</f>
        <v>14366.461000000003</v>
      </c>
      <c r="D78" s="100">
        <f t="shared" si="75"/>
        <v>12722.817000000001</v>
      </c>
      <c r="E78" s="100">
        <f t="shared" si="75"/>
        <v>12428.678999999998</v>
      </c>
      <c r="F78" s="100">
        <f t="shared" si="75"/>
        <v>12541.576999999997</v>
      </c>
      <c r="G78" s="100">
        <f t="shared" si="75"/>
        <v>12733.884999999997</v>
      </c>
      <c r="H78" s="100">
        <f t="shared" si="75"/>
        <v>12274.003999999999</v>
      </c>
      <c r="I78" s="100">
        <f t="shared" si="75"/>
        <v>12208.703000000001</v>
      </c>
      <c r="J78" s="100">
        <f t="shared" si="75"/>
        <v>12330.760896965889</v>
      </c>
      <c r="K78" s="100">
        <f t="shared" si="75"/>
        <v>13031.697</v>
      </c>
      <c r="L78" s="100">
        <f t="shared" si="75"/>
        <v>13472.983</v>
      </c>
      <c r="M78" s="100">
        <f t="shared" si="75"/>
        <v>13376.152</v>
      </c>
      <c r="N78" s="100">
        <f t="shared" si="75"/>
        <v>13486.713</v>
      </c>
      <c r="O78" s="100">
        <f t="shared" si="75"/>
        <v>13934.454</v>
      </c>
      <c r="P78" s="100">
        <f t="shared" si="75"/>
        <v>13092.349999999999</v>
      </c>
      <c r="Q78" s="100">
        <f t="shared" si="75"/>
        <v>13316.491999999998</v>
      </c>
      <c r="R78" s="100">
        <f t="shared" ref="R78:AD78" si="76">IFERROR(R63+R76+R77,"n.a.")</f>
        <v>12929.003000000004</v>
      </c>
      <c r="S78" s="100">
        <f t="shared" si="76"/>
        <v>13738.59</v>
      </c>
      <c r="T78" s="100">
        <f t="shared" si="76"/>
        <v>12499.244999999999</v>
      </c>
      <c r="U78" s="100">
        <f t="shared" si="76"/>
        <v>12814.358</v>
      </c>
      <c r="V78" s="100">
        <f t="shared" si="76"/>
        <v>12826.341</v>
      </c>
      <c r="W78" s="100">
        <f t="shared" si="76"/>
        <v>13883.172999999999</v>
      </c>
      <c r="X78" s="100">
        <f t="shared" si="76"/>
        <v>13396.888999999999</v>
      </c>
      <c r="Y78" s="100">
        <f t="shared" si="76"/>
        <v>13737.453226000001</v>
      </c>
      <c r="Z78" s="100">
        <f t="shared" si="76"/>
        <v>14648.177</v>
      </c>
      <c r="AA78" s="100">
        <f t="shared" si="76"/>
        <v>13897.548717999998</v>
      </c>
      <c r="AB78" s="100">
        <f t="shared" si="76"/>
        <v>13829.378000000001</v>
      </c>
      <c r="AC78" s="100">
        <f t="shared" si="76"/>
        <v>13827.552000000003</v>
      </c>
      <c r="AD78" s="100">
        <f t="shared" si="76"/>
        <v>13373.290111</v>
      </c>
    </row>
    <row r="79" spans="1:33" x14ac:dyDescent="0.2">
      <c r="AE79" s="22"/>
      <c r="AF79" s="22"/>
      <c r="AG79" s="22"/>
    </row>
    <row r="81" spans="1:30" ht="13.5" thickBot="1" x14ac:dyDescent="0.25">
      <c r="A81" s="11" t="s">
        <v>375</v>
      </c>
      <c r="B81" s="11"/>
      <c r="C81" s="13" t="str">
        <f t="shared" ref="C81:Q81" si="77">C4</f>
        <v>FY 2016</v>
      </c>
      <c r="D81" s="13" t="str">
        <f t="shared" si="77"/>
        <v>1Q 2017</v>
      </c>
      <c r="E81" s="13" t="str">
        <f t="shared" si="77"/>
        <v>1H 2017</v>
      </c>
      <c r="F81" s="13" t="str">
        <f t="shared" si="77"/>
        <v>9M 2017</v>
      </c>
      <c r="G81" s="13" t="str">
        <f t="shared" si="77"/>
        <v>FY 2017</v>
      </c>
      <c r="H81" s="13" t="str">
        <f t="shared" si="77"/>
        <v>1Q 2018</v>
      </c>
      <c r="I81" s="13" t="str">
        <f t="shared" si="77"/>
        <v>1H 2018</v>
      </c>
      <c r="J81" s="13" t="str">
        <f t="shared" si="77"/>
        <v>9M 2018</v>
      </c>
      <c r="K81" s="13" t="str">
        <f t="shared" si="77"/>
        <v>FY 2018</v>
      </c>
      <c r="L81" s="13" t="str">
        <f t="shared" si="77"/>
        <v>1Q 2019</v>
      </c>
      <c r="M81" s="13" t="str">
        <f t="shared" si="77"/>
        <v>1H 2019</v>
      </c>
      <c r="N81" s="13" t="str">
        <f t="shared" si="77"/>
        <v>9M 2019</v>
      </c>
      <c r="O81" s="13" t="str">
        <f t="shared" si="77"/>
        <v>FY 2019</v>
      </c>
      <c r="P81" s="13" t="str">
        <f t="shared" si="77"/>
        <v>1Q 2020</v>
      </c>
      <c r="Q81" s="13" t="str">
        <f t="shared" si="77"/>
        <v>1H 2020</v>
      </c>
      <c r="R81" s="13" t="str">
        <f t="shared" ref="R81:U82" si="78">R4</f>
        <v>9M 2020</v>
      </c>
      <c r="S81" s="13" t="str">
        <f t="shared" si="78"/>
        <v>FY 2020</v>
      </c>
      <c r="T81" s="13" t="str">
        <f t="shared" si="78"/>
        <v>1Q 2021</v>
      </c>
      <c r="U81" s="13" t="str">
        <f t="shared" si="78"/>
        <v>1H 2021</v>
      </c>
      <c r="V81" s="13" t="str">
        <f t="shared" ref="V81:AD81" si="79">V4</f>
        <v>9M 2021</v>
      </c>
      <c r="W81" s="13" t="str">
        <f t="shared" si="79"/>
        <v>FY 2021</v>
      </c>
      <c r="X81" s="13" t="str">
        <f t="shared" si="79"/>
        <v>1Q 2022</v>
      </c>
      <c r="Y81" s="13" t="str">
        <f t="shared" si="79"/>
        <v>1H 2022</v>
      </c>
      <c r="Z81" s="13" t="str">
        <f t="shared" si="79"/>
        <v>9M 2022</v>
      </c>
      <c r="AA81" s="13" t="str">
        <f t="shared" si="79"/>
        <v>FY 2022</v>
      </c>
      <c r="AB81" s="13" t="str">
        <f t="shared" si="79"/>
        <v>1Q 2023</v>
      </c>
      <c r="AC81" s="13" t="str">
        <f t="shared" si="79"/>
        <v>1H 2023</v>
      </c>
      <c r="AD81" s="13" t="str">
        <f t="shared" si="79"/>
        <v>9M 2023</v>
      </c>
    </row>
    <row r="82" spans="1:30" x14ac:dyDescent="0.2">
      <c r="C82" s="37" t="str">
        <f t="shared" ref="C82:N82" si="80">C5</f>
        <v>restated</v>
      </c>
      <c r="D82" s="37" t="str">
        <f t="shared" si="80"/>
        <v>reported</v>
      </c>
      <c r="E82" s="37" t="str">
        <f t="shared" si="80"/>
        <v>carve-out</v>
      </c>
      <c r="F82" s="37" t="str">
        <f t="shared" si="80"/>
        <v>reported</v>
      </c>
      <c r="G82" s="37" t="str">
        <f t="shared" si="80"/>
        <v>reported</v>
      </c>
      <c r="H82" s="37" t="str">
        <f t="shared" si="80"/>
        <v>reported</v>
      </c>
      <c r="I82" s="37" t="str">
        <f t="shared" si="80"/>
        <v>reported</v>
      </c>
      <c r="J82" s="37" t="str">
        <f t="shared" si="80"/>
        <v>reported</v>
      </c>
      <c r="K82" s="37" t="str">
        <f t="shared" si="80"/>
        <v>reported</v>
      </c>
      <c r="L82" s="37" t="str">
        <f t="shared" si="80"/>
        <v>reported</v>
      </c>
      <c r="M82" s="37" t="str">
        <f t="shared" si="80"/>
        <v>reported</v>
      </c>
      <c r="N82" s="37" t="str">
        <f t="shared" si="80"/>
        <v>reported</v>
      </c>
      <c r="S82" s="37" t="str">
        <f t="shared" si="78"/>
        <v>reported</v>
      </c>
      <c r="W82" s="37" t="str">
        <f>W5</f>
        <v>reported</v>
      </c>
      <c r="X82" s="37" t="str">
        <f>X5</f>
        <v>reported</v>
      </c>
      <c r="Y82" s="37" t="str">
        <f>Y5</f>
        <v>reported</v>
      </c>
      <c r="AA82" s="37" t="str">
        <f>AA5</f>
        <v>reported</v>
      </c>
      <c r="AB82" s="37" t="str">
        <f>AB5</f>
        <v>reported</v>
      </c>
      <c r="AC82" s="37" t="str">
        <f>AC5</f>
        <v>reported</v>
      </c>
    </row>
    <row r="84" spans="1:30" hidden="1" outlineLevel="1" x14ac:dyDescent="0.2">
      <c r="A84" s="62" t="s">
        <v>77</v>
      </c>
      <c r="B84" s="33"/>
      <c r="C84" s="52">
        <f>'Balance Sheet - FY'!F84</f>
        <v>5945.9989999999998</v>
      </c>
      <c r="D84" s="65">
        <v>4426.6239999999998</v>
      </c>
      <c r="E84" s="65">
        <v>4297.8860000000004</v>
      </c>
      <c r="F84" s="65">
        <v>4218.5889999999999</v>
      </c>
      <c r="G84" s="52">
        <f>'Balance Sheet - FY'!G84</f>
        <v>3897.0889999999999</v>
      </c>
      <c r="H84" s="65">
        <v>3709.0279999999998</v>
      </c>
      <c r="I84" s="65">
        <v>3791.8409999999999</v>
      </c>
      <c r="J84" s="175">
        <v>3953.5639999999999</v>
      </c>
      <c r="K84" s="52">
        <f>'Balance Sheet - FY'!H84</f>
        <v>3929.0790000000002</v>
      </c>
      <c r="L84" s="65">
        <v>4521.4229999999998</v>
      </c>
      <c r="M84" s="65">
        <v>3999.2849999999999</v>
      </c>
      <c r="N84" s="65">
        <v>4093.973</v>
      </c>
      <c r="O84" s="52">
        <f>'Balance Sheet - FY'!I84</f>
        <v>3949.8359999999998</v>
      </c>
      <c r="P84" s="65">
        <v>4372.4889999999996</v>
      </c>
      <c r="Q84" s="65">
        <v>4940.6210000000001</v>
      </c>
      <c r="R84" s="65">
        <v>4593.0209999999997</v>
      </c>
      <c r="S84" s="52">
        <f>'Balance Sheet - FY'!J84</f>
        <v>4970.9859999999999</v>
      </c>
      <c r="T84" s="65">
        <v>4472.1440000000002</v>
      </c>
      <c r="U84" s="65">
        <v>3565.36</v>
      </c>
      <c r="V84" s="65">
        <v>3353.335</v>
      </c>
      <c r="W84" s="52">
        <f>'Balance Sheet - FY'!K84</f>
        <v>3789.3690000000001</v>
      </c>
      <c r="X84" s="65">
        <v>3636.6390000000001</v>
      </c>
      <c r="Y84" s="65">
        <v>3657.4</v>
      </c>
      <c r="Z84" s="65">
        <v>3699.82</v>
      </c>
      <c r="AA84" s="52">
        <f>'Balance Sheet - FY'!L84</f>
        <v>3690.1106889999996</v>
      </c>
      <c r="AB84" s="65">
        <v>3276.0529999999999</v>
      </c>
      <c r="AC84" s="65">
        <v>3279.31</v>
      </c>
      <c r="AD84" s="65">
        <v>3579.8103999999998</v>
      </c>
    </row>
    <row r="85" spans="1:30" hidden="1" outlineLevel="1" x14ac:dyDescent="0.2">
      <c r="A85" s="61" t="s">
        <v>78</v>
      </c>
      <c r="B85" s="17"/>
      <c r="C85" s="74">
        <f>'Balance Sheet - FY'!F85</f>
        <v>87.421000000000006</v>
      </c>
      <c r="D85" s="68">
        <v>76.242000000000004</v>
      </c>
      <c r="E85" s="68">
        <v>74.043000000000006</v>
      </c>
      <c r="F85" s="68">
        <v>76.293000000000006</v>
      </c>
      <c r="G85" s="74">
        <f>'Balance Sheet - FY'!G85</f>
        <v>74.435000000000002</v>
      </c>
      <c r="H85" s="68">
        <v>73.823999999999998</v>
      </c>
      <c r="I85" s="68">
        <v>75.402000000000001</v>
      </c>
      <c r="J85" s="85">
        <v>72.835999999999999</v>
      </c>
      <c r="K85" s="74">
        <f>'Balance Sheet - FY'!H85</f>
        <v>83.287000000000006</v>
      </c>
      <c r="L85" s="68">
        <v>82.236999999999995</v>
      </c>
      <c r="M85" s="68">
        <v>81.421999999999997</v>
      </c>
      <c r="N85" s="68">
        <v>86.061999999999998</v>
      </c>
      <c r="O85" s="74">
        <f>'Balance Sheet - FY'!I85</f>
        <v>90.570999999999998</v>
      </c>
      <c r="P85" s="68">
        <v>80.638999999999996</v>
      </c>
      <c r="Q85" s="68">
        <v>82.721000000000004</v>
      </c>
      <c r="R85" s="68">
        <v>76.070999999999998</v>
      </c>
      <c r="S85" s="74">
        <f>'Balance Sheet - FY'!J85</f>
        <v>77.28</v>
      </c>
      <c r="T85" s="68">
        <v>75</v>
      </c>
      <c r="U85" s="68">
        <v>75.468000000000004</v>
      </c>
      <c r="V85" s="68">
        <v>74.954999999999998</v>
      </c>
      <c r="W85" s="74">
        <f>'Balance Sheet - FY'!K85</f>
        <v>76.484999999999999</v>
      </c>
      <c r="X85" s="68">
        <v>79.09</v>
      </c>
      <c r="Y85" s="68">
        <v>77.787999999999997</v>
      </c>
      <c r="Z85" s="68">
        <v>77.7</v>
      </c>
      <c r="AA85" s="74">
        <f>'Balance Sheet - FY'!L85</f>
        <v>74.574176000000008</v>
      </c>
      <c r="AB85" s="68">
        <v>74.13</v>
      </c>
      <c r="AC85" s="68">
        <v>75.123000000000005</v>
      </c>
      <c r="AD85" s="68">
        <v>71.334568000000004</v>
      </c>
    </row>
    <row r="86" spans="1:30" hidden="1" outlineLevel="1" x14ac:dyDescent="0.2">
      <c r="A86" s="61" t="s">
        <v>79</v>
      </c>
      <c r="B86" s="17"/>
      <c r="C86" s="74">
        <f>'Balance Sheet - FY'!F86</f>
        <v>170.99199999999999</v>
      </c>
      <c r="D86" s="68">
        <v>139.238</v>
      </c>
      <c r="E86" s="68">
        <v>128.66200000000001</v>
      </c>
      <c r="F86" s="68">
        <v>126.111</v>
      </c>
      <c r="G86" s="74">
        <f>'Balance Sheet - FY'!G86</f>
        <v>127.124</v>
      </c>
      <c r="H86" s="68">
        <v>124.753</v>
      </c>
      <c r="I86" s="68">
        <v>128.91999999999999</v>
      </c>
      <c r="J86" s="85">
        <v>130.37799999999999</v>
      </c>
      <c r="K86" s="74">
        <f>'Balance Sheet - FY'!H86</f>
        <v>138.327</v>
      </c>
      <c r="L86" s="68">
        <v>131.648</v>
      </c>
      <c r="M86" s="68">
        <v>133.98500000000001</v>
      </c>
      <c r="N86" s="68">
        <v>143.01900000000001</v>
      </c>
      <c r="O86" s="74">
        <f>'Balance Sheet - FY'!I86</f>
        <v>120.46899999999999</v>
      </c>
      <c r="P86" s="68">
        <v>112.89700000000001</v>
      </c>
      <c r="Q86" s="68">
        <v>110.27200000000001</v>
      </c>
      <c r="R86" s="68">
        <v>103.197</v>
      </c>
      <c r="S86" s="74">
        <f>'Balance Sheet - FY'!J86</f>
        <v>73.257000000000005</v>
      </c>
      <c r="T86" s="68">
        <v>69.105999999999995</v>
      </c>
      <c r="U86" s="68">
        <v>72.144999999999996</v>
      </c>
      <c r="V86" s="68">
        <v>72.923000000000002</v>
      </c>
      <c r="W86" s="74">
        <f>'Balance Sheet - FY'!K86</f>
        <v>81.17</v>
      </c>
      <c r="X86" s="68">
        <v>87.671000000000006</v>
      </c>
      <c r="Y86" s="68">
        <v>70.891000000000005</v>
      </c>
      <c r="Z86" s="68">
        <v>80.254999999999995</v>
      </c>
      <c r="AA86" s="74">
        <f>'Balance Sheet - FY'!L86</f>
        <v>101.676463</v>
      </c>
      <c r="AB86" s="68">
        <v>100.575</v>
      </c>
      <c r="AC86" s="68">
        <v>100.691</v>
      </c>
      <c r="AD86" s="68">
        <v>102.80792100000001</v>
      </c>
    </row>
    <row r="87" spans="1:30" hidden="1" outlineLevel="1" x14ac:dyDescent="0.2">
      <c r="A87" s="61" t="s">
        <v>336</v>
      </c>
      <c r="B87" s="17"/>
      <c r="C87" s="74">
        <f>'Balance Sheet - FY'!F87</f>
        <v>1452.1690000000001</v>
      </c>
      <c r="D87" s="68">
        <v>1311.164</v>
      </c>
      <c r="E87" s="68">
        <v>1308.665</v>
      </c>
      <c r="F87" s="68">
        <v>1298.5740000000001</v>
      </c>
      <c r="G87" s="74">
        <f>'Balance Sheet - FY'!G87</f>
        <v>1216.635</v>
      </c>
      <c r="H87" s="68">
        <v>1207.431</v>
      </c>
      <c r="I87" s="68">
        <v>1210.173</v>
      </c>
      <c r="J87" s="85">
        <v>1132.0060000000001</v>
      </c>
      <c r="K87" s="74">
        <f>'Balance Sheet - FY'!H87</f>
        <v>1081.605</v>
      </c>
      <c r="L87" s="68">
        <v>1087.5940000000001</v>
      </c>
      <c r="M87" s="68">
        <v>1074.309</v>
      </c>
      <c r="N87" s="68">
        <v>1061.01</v>
      </c>
      <c r="O87" s="74">
        <f>'Balance Sheet - FY'!I87</f>
        <v>1058.76</v>
      </c>
      <c r="P87" s="68">
        <v>1053.058</v>
      </c>
      <c r="Q87" s="68">
        <v>1050.9269999999999</v>
      </c>
      <c r="R87" s="68">
        <v>1044.636</v>
      </c>
      <c r="S87" s="74">
        <f>'Balance Sheet - FY'!J87</f>
        <v>1006.799</v>
      </c>
      <c r="T87" s="68">
        <v>999.75300000000004</v>
      </c>
      <c r="U87" s="68">
        <v>1025.865</v>
      </c>
      <c r="V87" s="68">
        <v>1017.9829999999999</v>
      </c>
      <c r="W87" s="74">
        <f>'Balance Sheet - FY'!K87</f>
        <v>1033.8920000000001</v>
      </c>
      <c r="X87" s="68">
        <v>1034.5219999999999</v>
      </c>
      <c r="Y87" s="68">
        <v>1020.877</v>
      </c>
      <c r="Z87" s="68">
        <v>1017.79</v>
      </c>
      <c r="AA87" s="74">
        <f>'Balance Sheet - FY'!L87</f>
        <v>1041.8480300000001</v>
      </c>
      <c r="AB87" s="68">
        <v>1033.5150000000001</v>
      </c>
      <c r="AC87" s="68">
        <v>1022.07</v>
      </c>
      <c r="AD87" s="68">
        <v>1020.5734590000001</v>
      </c>
    </row>
    <row r="88" spans="1:30" hidden="1" outlineLevel="1" x14ac:dyDescent="0.2">
      <c r="A88" s="61" t="s">
        <v>337</v>
      </c>
      <c r="B88" s="17"/>
      <c r="C88" s="74">
        <f>'Balance Sheet - FY'!F88</f>
        <v>368.1</v>
      </c>
      <c r="D88" s="68">
        <v>341.16199999999998</v>
      </c>
      <c r="E88" s="68">
        <v>359.65699999999998</v>
      </c>
      <c r="F88" s="68">
        <v>323.779</v>
      </c>
      <c r="G88" s="74">
        <f>'Balance Sheet - FY'!G88</f>
        <v>274.03699999999998</v>
      </c>
      <c r="H88" s="68">
        <v>264.80500000000001</v>
      </c>
      <c r="I88" s="68">
        <v>199.68</v>
      </c>
      <c r="J88" s="85">
        <v>195.16800000000001</v>
      </c>
      <c r="K88" s="74">
        <f>'Balance Sheet - FY'!H88</f>
        <v>224.31200000000001</v>
      </c>
      <c r="L88" s="68">
        <v>218.875</v>
      </c>
      <c r="M88" s="68">
        <v>219.33</v>
      </c>
      <c r="N88" s="68">
        <v>212.31899999999999</v>
      </c>
      <c r="O88" s="74">
        <f>'Balance Sheet - FY'!I88</f>
        <v>260.83199999999999</v>
      </c>
      <c r="P88" s="68">
        <v>193.09200000000001</v>
      </c>
      <c r="Q88" s="68">
        <v>188.58699999999999</v>
      </c>
      <c r="R88" s="68">
        <v>170.24799999999999</v>
      </c>
      <c r="S88" s="74">
        <f>'Balance Sheet - FY'!J88</f>
        <v>243.93100000000001</v>
      </c>
      <c r="T88" s="68">
        <v>241.626</v>
      </c>
      <c r="U88" s="68">
        <v>188.553</v>
      </c>
      <c r="V88" s="68">
        <v>200.566</v>
      </c>
      <c r="W88" s="74">
        <f>'Balance Sheet - FY'!K88</f>
        <v>220.59800000000001</v>
      </c>
      <c r="X88" s="68">
        <v>229.75299999999999</v>
      </c>
      <c r="Y88" s="68">
        <v>172.39</v>
      </c>
      <c r="Z88" s="68">
        <v>180.25</v>
      </c>
      <c r="AA88" s="74">
        <f>'Balance Sheet - FY'!L88</f>
        <v>180.557569</v>
      </c>
      <c r="AB88" s="68">
        <v>184.38800000000001</v>
      </c>
      <c r="AC88" s="68">
        <v>161.30000000000001</v>
      </c>
      <c r="AD88" s="68">
        <v>170.80770100000001</v>
      </c>
    </row>
    <row r="89" spans="1:30" hidden="1" outlineLevel="1" x14ac:dyDescent="0.2">
      <c r="A89" s="61" t="s">
        <v>80</v>
      </c>
      <c r="B89" s="17"/>
      <c r="C89" s="74">
        <f>'Balance Sheet - FY'!F89</f>
        <v>3.3740000000000001</v>
      </c>
      <c r="D89" s="68">
        <v>2.6819999999999999</v>
      </c>
      <c r="E89" s="68">
        <v>2.4449999999999998</v>
      </c>
      <c r="F89" s="68">
        <v>2.4700000000000002</v>
      </c>
      <c r="G89" s="74">
        <f>'Balance Sheet - FY'!G89</f>
        <v>2.399</v>
      </c>
      <c r="H89" s="68">
        <v>2.3340000000000001</v>
      </c>
      <c r="I89" s="68">
        <v>2.1259999999999999</v>
      </c>
      <c r="J89" s="85">
        <v>2.06</v>
      </c>
      <c r="K89" s="74">
        <f>'Balance Sheet - FY'!H89</f>
        <v>2.0910000000000002</v>
      </c>
      <c r="L89" s="68">
        <v>2.1230000000000002</v>
      </c>
      <c r="M89" s="68">
        <v>2.133</v>
      </c>
      <c r="N89" s="68">
        <v>2.048</v>
      </c>
      <c r="O89" s="74">
        <f>'Balance Sheet - FY'!I89</f>
        <v>12.555</v>
      </c>
      <c r="P89" s="68">
        <v>12.589</v>
      </c>
      <c r="Q89" s="68">
        <v>11.499000000000001</v>
      </c>
      <c r="R89" s="68">
        <v>11.215</v>
      </c>
      <c r="S89" s="74">
        <f>'Balance Sheet - FY'!J89</f>
        <v>10.795</v>
      </c>
      <c r="T89" s="68">
        <v>11.223000000000001</v>
      </c>
      <c r="U89" s="68">
        <v>11.227</v>
      </c>
      <c r="V89" s="68">
        <v>11.284000000000001</v>
      </c>
      <c r="W89" s="74">
        <f>'Balance Sheet - FY'!K89</f>
        <v>11.512</v>
      </c>
      <c r="X89" s="68">
        <v>0.39900000000000002</v>
      </c>
      <c r="Y89" s="68">
        <v>1.1180000000000001</v>
      </c>
      <c r="Z89" s="68">
        <v>1.55</v>
      </c>
      <c r="AA89" s="74">
        <f>'Balance Sheet - FY'!L89</f>
        <v>12.780031000000001</v>
      </c>
      <c r="AB89" s="68">
        <v>12.791</v>
      </c>
      <c r="AC89" s="68">
        <v>12.87</v>
      </c>
      <c r="AD89" s="68">
        <v>12.866616</v>
      </c>
    </row>
    <row r="90" spans="1:30" hidden="1" outlineLevel="2" x14ac:dyDescent="0.2">
      <c r="A90" s="61" t="s">
        <v>253</v>
      </c>
      <c r="B90" s="17"/>
      <c r="C90" s="73">
        <f>'Balance Sheet - FY'!F90</f>
        <v>0</v>
      </c>
      <c r="D90" s="85">
        <v>0</v>
      </c>
      <c r="E90" s="85">
        <v>0</v>
      </c>
      <c r="F90" s="85">
        <v>0</v>
      </c>
      <c r="G90" s="73">
        <f>'Balance Sheet - FY'!G90</f>
        <v>54.963000000000001</v>
      </c>
      <c r="H90" s="85">
        <v>97.49</v>
      </c>
      <c r="I90" s="85">
        <v>7.423</v>
      </c>
      <c r="J90" s="85">
        <v>5.7359999999999998</v>
      </c>
      <c r="K90" s="73">
        <f>'Balance Sheet - FY'!H90</f>
        <v>13.738</v>
      </c>
      <c r="L90" s="85">
        <v>19.957000000000001</v>
      </c>
      <c r="M90" s="85">
        <v>35.555999999999997</v>
      </c>
      <c r="N90" s="85">
        <v>14.093999999999999</v>
      </c>
      <c r="O90" s="73">
        <f>'Balance Sheet - FY'!I90</f>
        <v>10.327</v>
      </c>
      <c r="P90" s="85">
        <v>10.6</v>
      </c>
      <c r="Q90" s="85">
        <v>11.111000000000001</v>
      </c>
      <c r="R90" s="85">
        <v>22.738</v>
      </c>
      <c r="S90" s="73">
        <f>'Balance Sheet - FY'!J90</f>
        <v>87.600999999999999</v>
      </c>
      <c r="T90" s="85">
        <v>17.390999999999998</v>
      </c>
      <c r="U90" s="85">
        <v>5.0750000000000002</v>
      </c>
      <c r="V90" s="85">
        <v>4.3869999999999996</v>
      </c>
      <c r="W90" s="73">
        <f>'Balance Sheet - FY'!K90</f>
        <v>3.5190000000000001</v>
      </c>
      <c r="X90" s="85">
        <v>1.23</v>
      </c>
      <c r="Y90" s="85">
        <v>0</v>
      </c>
      <c r="Z90" s="85">
        <v>0</v>
      </c>
      <c r="AA90" s="73">
        <f>'Balance Sheet - FY'!L90</f>
        <v>0</v>
      </c>
      <c r="AB90" s="85">
        <v>0</v>
      </c>
      <c r="AC90" s="85">
        <v>0</v>
      </c>
      <c r="AD90" s="85">
        <v>0</v>
      </c>
    </row>
    <row r="91" spans="1:30" hidden="1" outlineLevel="2" x14ac:dyDescent="0.2">
      <c r="A91" s="61" t="s">
        <v>254</v>
      </c>
      <c r="B91" s="17"/>
      <c r="C91" s="73">
        <f>'Balance Sheet - FY'!F91</f>
        <v>0</v>
      </c>
      <c r="D91" s="85">
        <v>0</v>
      </c>
      <c r="E91" s="85">
        <v>0</v>
      </c>
      <c r="F91" s="85">
        <v>0</v>
      </c>
      <c r="G91" s="73">
        <f>'Balance Sheet - FY'!G91</f>
        <v>0</v>
      </c>
      <c r="H91" s="85">
        <v>0</v>
      </c>
      <c r="I91" s="85">
        <v>0.88700000000000045</v>
      </c>
      <c r="J91" s="85">
        <v>0.38200000000000001</v>
      </c>
      <c r="K91" s="73">
        <f>'Balance Sheet - FY'!H91</f>
        <v>2.3010000000000019</v>
      </c>
      <c r="L91" s="85">
        <v>3.3559999999999981</v>
      </c>
      <c r="M91" s="85">
        <v>0</v>
      </c>
      <c r="N91" s="85">
        <v>0</v>
      </c>
      <c r="O91" s="73">
        <f>'Balance Sheet - FY'!I91</f>
        <v>0</v>
      </c>
      <c r="P91" s="85">
        <v>0</v>
      </c>
      <c r="Q91" s="85">
        <v>0</v>
      </c>
      <c r="R91" s="85">
        <v>0</v>
      </c>
      <c r="S91" s="73">
        <f>'Balance Sheet - FY'!J91</f>
        <v>0</v>
      </c>
      <c r="T91" s="85">
        <v>0</v>
      </c>
      <c r="U91" s="85">
        <v>0</v>
      </c>
      <c r="V91" s="85">
        <v>0</v>
      </c>
      <c r="W91" s="73">
        <f>'Balance Sheet - FY'!K91</f>
        <v>0</v>
      </c>
      <c r="X91" s="85">
        <v>0</v>
      </c>
      <c r="Y91" s="85">
        <v>0</v>
      </c>
      <c r="Z91" s="85">
        <v>0</v>
      </c>
      <c r="AA91" s="73">
        <f>'Balance Sheet - FY'!L91</f>
        <v>0</v>
      </c>
      <c r="AB91" s="85">
        <v>0</v>
      </c>
      <c r="AC91" s="85">
        <v>0</v>
      </c>
      <c r="AD91" s="85">
        <v>0</v>
      </c>
    </row>
    <row r="92" spans="1:30" hidden="1" outlineLevel="1" x14ac:dyDescent="0.2">
      <c r="A92" s="117" t="s">
        <v>71</v>
      </c>
      <c r="B92" s="83"/>
      <c r="C92" s="80">
        <f t="shared" ref="C92:AD92" si="81">IFERROR(C90+C91,"n.a.")</f>
        <v>0</v>
      </c>
      <c r="D92" s="80">
        <f t="shared" si="81"/>
        <v>0</v>
      </c>
      <c r="E92" s="80">
        <f t="shared" si="81"/>
        <v>0</v>
      </c>
      <c r="F92" s="80">
        <f t="shared" si="81"/>
        <v>0</v>
      </c>
      <c r="G92" s="80">
        <f t="shared" si="81"/>
        <v>54.963000000000001</v>
      </c>
      <c r="H92" s="80">
        <f t="shared" si="81"/>
        <v>97.49</v>
      </c>
      <c r="I92" s="80">
        <f t="shared" si="81"/>
        <v>8.31</v>
      </c>
      <c r="J92" s="80">
        <f t="shared" si="81"/>
        <v>6.1179999999999994</v>
      </c>
      <c r="K92" s="80">
        <f t="shared" si="81"/>
        <v>16.039000000000001</v>
      </c>
      <c r="L92" s="80">
        <f t="shared" si="81"/>
        <v>23.312999999999999</v>
      </c>
      <c r="M92" s="80">
        <f t="shared" si="81"/>
        <v>35.555999999999997</v>
      </c>
      <c r="N92" s="80">
        <f t="shared" si="81"/>
        <v>14.093999999999999</v>
      </c>
      <c r="O92" s="80">
        <f t="shared" si="81"/>
        <v>10.327</v>
      </c>
      <c r="P92" s="80">
        <f t="shared" si="81"/>
        <v>10.6</v>
      </c>
      <c r="Q92" s="80">
        <f t="shared" si="81"/>
        <v>11.111000000000001</v>
      </c>
      <c r="R92" s="80">
        <f t="shared" si="81"/>
        <v>22.738</v>
      </c>
      <c r="S92" s="80">
        <f t="shared" si="81"/>
        <v>87.600999999999999</v>
      </c>
      <c r="T92" s="80">
        <f t="shared" si="81"/>
        <v>17.390999999999998</v>
      </c>
      <c r="U92" s="80">
        <f t="shared" si="81"/>
        <v>5.0750000000000002</v>
      </c>
      <c r="V92" s="80">
        <f t="shared" si="81"/>
        <v>4.3869999999999996</v>
      </c>
      <c r="W92" s="80">
        <f t="shared" si="81"/>
        <v>3.5190000000000001</v>
      </c>
      <c r="X92" s="80">
        <f t="shared" si="81"/>
        <v>1.23</v>
      </c>
      <c r="Y92" s="80">
        <f t="shared" si="81"/>
        <v>0</v>
      </c>
      <c r="Z92" s="80">
        <f t="shared" si="81"/>
        <v>0</v>
      </c>
      <c r="AA92" s="80">
        <f t="shared" si="81"/>
        <v>0</v>
      </c>
      <c r="AB92" s="80">
        <f t="shared" si="81"/>
        <v>0</v>
      </c>
      <c r="AC92" s="80">
        <f t="shared" si="81"/>
        <v>0</v>
      </c>
      <c r="AD92" s="80">
        <f t="shared" si="81"/>
        <v>0</v>
      </c>
    </row>
    <row r="93" spans="1:30" s="22" customFormat="1" collapsed="1" x14ac:dyDescent="0.2">
      <c r="A93" s="91" t="s">
        <v>5</v>
      </c>
      <c r="B93" s="87"/>
      <c r="C93" s="88">
        <f t="shared" ref="C93:J93" si="82">IFERROR(C84+C85+C86+C87+C88+C89+C92,"n.a.")</f>
        <v>8028.0550000000003</v>
      </c>
      <c r="D93" s="88">
        <f t="shared" si="82"/>
        <v>6297.1120000000001</v>
      </c>
      <c r="E93" s="88">
        <f t="shared" si="82"/>
        <v>6171.3580000000002</v>
      </c>
      <c r="F93" s="88">
        <f t="shared" si="82"/>
        <v>6045.8159999999998</v>
      </c>
      <c r="G93" s="88">
        <f t="shared" si="82"/>
        <v>5646.6820000000007</v>
      </c>
      <c r="H93" s="88">
        <f t="shared" si="82"/>
        <v>5479.665</v>
      </c>
      <c r="I93" s="88">
        <f t="shared" si="82"/>
        <v>5416.4520000000011</v>
      </c>
      <c r="J93" s="88">
        <f t="shared" si="82"/>
        <v>5492.13</v>
      </c>
      <c r="K93" s="88">
        <f t="shared" ref="K93:AD93" si="83">IFERROR(K84+K85+K86+K87+K88+K89+K92,"n.a.")</f>
        <v>5474.7400000000007</v>
      </c>
      <c r="L93" s="88">
        <f t="shared" si="83"/>
        <v>6067.2129999999997</v>
      </c>
      <c r="M93" s="88">
        <f t="shared" si="83"/>
        <v>5546.0199999999995</v>
      </c>
      <c r="N93" s="88">
        <f t="shared" si="83"/>
        <v>5612.5250000000005</v>
      </c>
      <c r="O93" s="88">
        <f t="shared" si="83"/>
        <v>5503.35</v>
      </c>
      <c r="P93" s="88">
        <f t="shared" si="83"/>
        <v>5835.3639999999996</v>
      </c>
      <c r="Q93" s="88">
        <f t="shared" si="83"/>
        <v>6395.7380000000003</v>
      </c>
      <c r="R93" s="88">
        <f t="shared" si="83"/>
        <v>6021.1259999999993</v>
      </c>
      <c r="S93" s="88">
        <f t="shared" si="83"/>
        <v>6470.6489999999985</v>
      </c>
      <c r="T93" s="88">
        <f t="shared" si="83"/>
        <v>5886.2429999999995</v>
      </c>
      <c r="U93" s="88">
        <f t="shared" si="83"/>
        <v>4943.6929999999993</v>
      </c>
      <c r="V93" s="88">
        <f t="shared" si="83"/>
        <v>4735.4329999999991</v>
      </c>
      <c r="W93" s="88">
        <f t="shared" si="83"/>
        <v>5216.5450000000001</v>
      </c>
      <c r="X93" s="88">
        <f t="shared" si="83"/>
        <v>5069.3040000000001</v>
      </c>
      <c r="Y93" s="88">
        <f t="shared" si="83"/>
        <v>5000.4640000000009</v>
      </c>
      <c r="Z93" s="88">
        <f t="shared" si="83"/>
        <v>5057.3650000000007</v>
      </c>
      <c r="AA93" s="88">
        <f t="shared" si="83"/>
        <v>5101.5469579999999</v>
      </c>
      <c r="AB93" s="88">
        <f t="shared" si="83"/>
        <v>4681.4520000000002</v>
      </c>
      <c r="AC93" s="88">
        <f t="shared" si="83"/>
        <v>4651.3639999999996</v>
      </c>
      <c r="AD93" s="88">
        <f t="shared" si="83"/>
        <v>4958.2006650000003</v>
      </c>
    </row>
    <row r="94" spans="1:30" hidden="1" outlineLevel="1" x14ac:dyDescent="0.2">
      <c r="A94" s="61" t="s">
        <v>77</v>
      </c>
      <c r="B94" s="17"/>
      <c r="C94" s="74">
        <f>'Balance Sheet - FY'!F94</f>
        <v>642.04700000000003</v>
      </c>
      <c r="D94" s="68">
        <v>1689.816</v>
      </c>
      <c r="E94" s="68">
        <v>540.30399999999997</v>
      </c>
      <c r="F94" s="68">
        <v>580.11400000000003</v>
      </c>
      <c r="G94" s="74">
        <f>'Balance Sheet - FY'!G94</f>
        <v>559.16800000000001</v>
      </c>
      <c r="H94" s="68">
        <v>849.18799999999999</v>
      </c>
      <c r="I94" s="68">
        <v>869.12300000000005</v>
      </c>
      <c r="J94" s="85">
        <v>824.34299999999996</v>
      </c>
      <c r="K94" s="74">
        <f>'Balance Sheet - FY'!H94</f>
        <v>800.14499999999998</v>
      </c>
      <c r="L94" s="68">
        <v>1041.0219999999999</v>
      </c>
      <c r="M94" s="68">
        <v>1399.308</v>
      </c>
      <c r="N94" s="68">
        <v>1454.1790000000001</v>
      </c>
      <c r="O94" s="74">
        <f>'Balance Sheet - FY'!I94</f>
        <v>1419.403</v>
      </c>
      <c r="P94" s="68">
        <v>1196.672</v>
      </c>
      <c r="Q94" s="68">
        <v>1182.306</v>
      </c>
      <c r="R94" s="68">
        <v>1158.6489999999999</v>
      </c>
      <c r="S94" s="74">
        <f>'Balance Sheet - FY'!J94</f>
        <v>883.56700000000001</v>
      </c>
      <c r="T94" s="68">
        <v>538.56299999999999</v>
      </c>
      <c r="U94" s="68">
        <v>1384.8720000000001</v>
      </c>
      <c r="V94" s="68">
        <v>1533.8920000000001</v>
      </c>
      <c r="W94" s="74">
        <f>'Balance Sheet - FY'!K94</f>
        <v>1489.249</v>
      </c>
      <c r="X94" s="68">
        <v>1215.163</v>
      </c>
      <c r="Y94" s="68">
        <v>1240.5709999999999</v>
      </c>
      <c r="Z94" s="68">
        <v>1637.06</v>
      </c>
      <c r="AA94" s="74">
        <f>'Balance Sheet - FY'!L94</f>
        <v>800.38852500000007</v>
      </c>
      <c r="AB94" s="68">
        <v>1549.81</v>
      </c>
      <c r="AC94" s="68">
        <v>1473.518</v>
      </c>
      <c r="AD94" s="68">
        <v>690.09641500000009</v>
      </c>
    </row>
    <row r="95" spans="1:30" hidden="1" outlineLevel="1" x14ac:dyDescent="0.2">
      <c r="A95" s="61" t="s">
        <v>53</v>
      </c>
      <c r="B95" s="17"/>
      <c r="C95" s="74">
        <f>'Balance Sheet - FY'!F95</f>
        <v>1498.492</v>
      </c>
      <c r="D95" s="68">
        <v>1062.2349999999999</v>
      </c>
      <c r="E95" s="68">
        <v>1139.7940000000001</v>
      </c>
      <c r="F95" s="68">
        <v>1066.8789999999999</v>
      </c>
      <c r="G95" s="74">
        <f>'Balance Sheet - FY'!G95</f>
        <v>1673.6420000000001</v>
      </c>
      <c r="H95" s="68">
        <v>1062.45</v>
      </c>
      <c r="I95" s="68">
        <v>1052.184</v>
      </c>
      <c r="J95" s="85">
        <v>1004.992</v>
      </c>
      <c r="K95" s="74">
        <f>'Balance Sheet - FY'!H95</f>
        <v>1604.6769999999999</v>
      </c>
      <c r="L95" s="68">
        <f>1142.538+80.3</f>
        <v>1222.838</v>
      </c>
      <c r="M95" s="68">
        <f>1200.344+73.4</f>
        <v>1273.7440000000001</v>
      </c>
      <c r="N95" s="68">
        <f>1146.676+54.9</f>
        <v>1201.576</v>
      </c>
      <c r="O95" s="74">
        <f>'Balance Sheet - FY'!I95</f>
        <v>1721.088</v>
      </c>
      <c r="P95" s="68">
        <f>961.336+59.8</f>
        <v>1021.136</v>
      </c>
      <c r="Q95" s="68">
        <f>858.423+46.9</f>
        <v>905.32299999999998</v>
      </c>
      <c r="R95" s="68">
        <f>808.411+32.6</f>
        <v>841.01099999999997</v>
      </c>
      <c r="S95" s="74">
        <f>'Balance Sheet - FY'!J95</f>
        <v>1316.971</v>
      </c>
      <c r="T95" s="68">
        <f>862.07+52.1</f>
        <v>914.17000000000007</v>
      </c>
      <c r="U95" s="68">
        <f>966.934+79.8</f>
        <v>1046.7339999999999</v>
      </c>
      <c r="V95" s="68">
        <f>1043.905+48.2</f>
        <v>1092.105</v>
      </c>
      <c r="W95" s="74">
        <f>'Balance Sheet - FY'!K95</f>
        <v>1626.367</v>
      </c>
      <c r="X95" s="68">
        <v>1196.771</v>
      </c>
      <c r="Y95" s="68">
        <v>1454.164</v>
      </c>
      <c r="Z95" s="68">
        <v>1625.27</v>
      </c>
      <c r="AA95" s="74">
        <f>'Balance Sheet - FY'!L95</f>
        <v>1973.296439</v>
      </c>
      <c r="AB95" s="68">
        <v>1367.84</v>
      </c>
      <c r="AC95" s="68">
        <v>1405.095</v>
      </c>
      <c r="AD95" s="68">
        <v>1484.3230209999999</v>
      </c>
    </row>
    <row r="96" spans="1:30" hidden="1" outlineLevel="1" x14ac:dyDescent="0.2">
      <c r="A96" s="61" t="s">
        <v>236</v>
      </c>
      <c r="B96" s="17"/>
      <c r="C96" s="74">
        <f>'Balance Sheet - FY'!F96</f>
        <v>0</v>
      </c>
      <c r="D96" s="68">
        <v>0</v>
      </c>
      <c r="E96" s="68">
        <v>0</v>
      </c>
      <c r="F96" s="68">
        <v>0</v>
      </c>
      <c r="G96" s="74">
        <f>'Balance Sheet - FY'!G96</f>
        <v>0</v>
      </c>
      <c r="H96" s="68">
        <v>11.202</v>
      </c>
      <c r="I96" s="85">
        <v>0</v>
      </c>
      <c r="J96" s="85">
        <v>0</v>
      </c>
      <c r="K96" s="74">
        <f>'Balance Sheet - FY'!H96</f>
        <v>0</v>
      </c>
      <c r="L96" s="68">
        <v>0</v>
      </c>
      <c r="M96" s="68">
        <v>0</v>
      </c>
      <c r="N96" s="68">
        <v>0</v>
      </c>
      <c r="O96" s="74">
        <f>'Balance Sheet - FY'!I96</f>
        <v>0</v>
      </c>
      <c r="P96" s="68">
        <v>0</v>
      </c>
      <c r="Q96" s="68">
        <v>0</v>
      </c>
      <c r="R96" s="68">
        <v>0</v>
      </c>
      <c r="S96" s="74">
        <f>'Balance Sheet - FY'!J96</f>
        <v>0</v>
      </c>
      <c r="T96" s="68">
        <v>0</v>
      </c>
      <c r="U96" s="68">
        <v>0</v>
      </c>
      <c r="V96" s="68">
        <v>0</v>
      </c>
      <c r="W96" s="74">
        <f>'Balance Sheet - FY'!K96</f>
        <v>0</v>
      </c>
      <c r="X96" s="68">
        <v>0</v>
      </c>
      <c r="Y96" s="68">
        <v>0</v>
      </c>
      <c r="Z96" s="68"/>
      <c r="AA96" s="74">
        <f>'Balance Sheet - FY'!L96</f>
        <v>0</v>
      </c>
      <c r="AB96" s="68">
        <v>0</v>
      </c>
      <c r="AC96" s="68">
        <v>0</v>
      </c>
      <c r="AD96" s="68">
        <v>0</v>
      </c>
    </row>
    <row r="97" spans="1:30" hidden="1" outlineLevel="1" x14ac:dyDescent="0.2">
      <c r="A97" s="61" t="s">
        <v>78</v>
      </c>
      <c r="B97" s="17"/>
      <c r="C97" s="74">
        <f>'Balance Sheet - FY'!F97</f>
        <v>783.07899999999995</v>
      </c>
      <c r="D97" s="68">
        <v>482.39</v>
      </c>
      <c r="E97" s="68">
        <v>383.46499999999997</v>
      </c>
      <c r="F97" s="68">
        <v>468.291</v>
      </c>
      <c r="G97" s="74">
        <f>'Balance Sheet - FY'!G97</f>
        <v>565.255</v>
      </c>
      <c r="H97" s="68">
        <v>469.48</v>
      </c>
      <c r="I97" s="68">
        <v>426.06599999999997</v>
      </c>
      <c r="J97" s="85">
        <v>379.49900000000002</v>
      </c>
      <c r="K97" s="74">
        <f>'Balance Sheet - FY'!H97</f>
        <v>436.75200000000001</v>
      </c>
      <c r="L97" s="68">
        <f>401.425-80.3</f>
        <v>321.125</v>
      </c>
      <c r="M97" s="68">
        <f>413.515-73.4</f>
        <v>340.11500000000001</v>
      </c>
      <c r="N97" s="68">
        <f>375.28-54.9</f>
        <v>320.38</v>
      </c>
      <c r="O97" s="74">
        <f>'Balance Sheet - FY'!I97</f>
        <v>293.15700000000004</v>
      </c>
      <c r="P97" s="68">
        <f>340.79-59.8</f>
        <v>280.99</v>
      </c>
      <c r="Q97" s="68">
        <f>330.798-46.9</f>
        <v>283.89800000000002</v>
      </c>
      <c r="R97" s="68">
        <f>372.878-32.6</f>
        <v>340.27799999999996</v>
      </c>
      <c r="S97" s="74">
        <f>'Balance Sheet - FY'!J97</f>
        <v>325.26600000000002</v>
      </c>
      <c r="T97" s="68">
        <f>358.09-52.1</f>
        <v>305.98999999999995</v>
      </c>
      <c r="U97" s="68">
        <f>440.869-79.8</f>
        <v>361.06900000000002</v>
      </c>
      <c r="V97" s="68">
        <f>364.373-48.2</f>
        <v>316.173</v>
      </c>
      <c r="W97" s="74">
        <f>'Balance Sheet - FY'!K97</f>
        <v>314.20299999999997</v>
      </c>
      <c r="X97" s="68">
        <v>321.67</v>
      </c>
      <c r="Y97" s="68">
        <v>288.67200000000003</v>
      </c>
      <c r="Z97" s="68">
        <v>341.98</v>
      </c>
      <c r="AA97" s="74">
        <f>'Balance Sheet - FY'!L97</f>
        <v>405.57827400000104</v>
      </c>
      <c r="AB97" s="68">
        <v>463.21</v>
      </c>
      <c r="AC97" s="68">
        <v>582.44399999999996</v>
      </c>
      <c r="AD97" s="68">
        <v>368.54563499999949</v>
      </c>
    </row>
    <row r="98" spans="1:30" hidden="1" outlineLevel="1" x14ac:dyDescent="0.2">
      <c r="A98" s="61" t="s">
        <v>79</v>
      </c>
      <c r="B98" s="17"/>
      <c r="C98" s="74">
        <f>'Balance Sheet - FY'!F98</f>
        <v>45.987000000000002</v>
      </c>
      <c r="D98" s="68">
        <v>38.603000000000002</v>
      </c>
      <c r="E98" s="68">
        <v>56.116</v>
      </c>
      <c r="F98" s="68">
        <v>37.042999999999999</v>
      </c>
      <c r="G98" s="74">
        <f>'Balance Sheet - FY'!G98</f>
        <v>45.832999999999998</v>
      </c>
      <c r="H98" s="68">
        <v>46.167999999999999</v>
      </c>
      <c r="I98" s="68">
        <v>49.606000000000002</v>
      </c>
      <c r="J98" s="85">
        <v>38.454999999999998</v>
      </c>
      <c r="K98" s="74">
        <f>'Balance Sheet - FY'!H98</f>
        <v>33.875999999999998</v>
      </c>
      <c r="L98" s="68">
        <v>36.533999999999999</v>
      </c>
      <c r="M98" s="68">
        <v>30.34</v>
      </c>
      <c r="N98" s="68">
        <v>27.649000000000001</v>
      </c>
      <c r="O98" s="74">
        <f>'Balance Sheet - FY'!I98</f>
        <v>43.527999999999999</v>
      </c>
      <c r="P98" s="68">
        <v>38.295999999999999</v>
      </c>
      <c r="Q98" s="68">
        <v>44.91</v>
      </c>
      <c r="R98" s="68">
        <v>52.883000000000003</v>
      </c>
      <c r="S98" s="74">
        <f>'Balance Sheet - FY'!J98</f>
        <v>48.082999999999998</v>
      </c>
      <c r="T98" s="68">
        <v>54.917999999999999</v>
      </c>
      <c r="U98" s="68">
        <v>52.607999999999997</v>
      </c>
      <c r="V98" s="68">
        <v>39.521000000000001</v>
      </c>
      <c r="W98" s="74">
        <f>'Balance Sheet - FY'!K98</f>
        <v>43.594000000000001</v>
      </c>
      <c r="X98" s="68">
        <v>40.08</v>
      </c>
      <c r="Y98" s="68">
        <v>61.646000000000001</v>
      </c>
      <c r="Z98" s="68">
        <v>65.290000000000006</v>
      </c>
      <c r="AA98" s="74">
        <f>'Balance Sheet - FY'!L98</f>
        <v>41.250008000000001</v>
      </c>
      <c r="AB98" s="68">
        <v>36.81</v>
      </c>
      <c r="AC98" s="68">
        <v>48.185000000000002</v>
      </c>
      <c r="AD98" s="68">
        <v>46.560906000000003</v>
      </c>
    </row>
    <row r="99" spans="1:30" hidden="1" outlineLevel="1" x14ac:dyDescent="0.2">
      <c r="A99" s="61" t="s">
        <v>337</v>
      </c>
      <c r="B99" s="17"/>
      <c r="C99" s="74">
        <f>'Balance Sheet - FY'!F99</f>
        <v>0</v>
      </c>
      <c r="D99" s="68">
        <v>0</v>
      </c>
      <c r="E99" s="68">
        <v>0</v>
      </c>
      <c r="F99" s="68">
        <v>0</v>
      </c>
      <c r="G99" s="74">
        <f>'Balance Sheet - FY'!G99</f>
        <v>0</v>
      </c>
      <c r="H99" s="68">
        <v>3.3</v>
      </c>
      <c r="I99" s="68">
        <v>0.76800000000000002</v>
      </c>
      <c r="J99" s="85">
        <v>3.1589999999999998</v>
      </c>
      <c r="K99" s="74">
        <f>'Balance Sheet - FY'!H99</f>
        <v>5.4749999999999996</v>
      </c>
      <c r="L99" s="68">
        <v>7.7869999999999999</v>
      </c>
      <c r="M99" s="68">
        <v>0.628</v>
      </c>
      <c r="N99" s="68">
        <v>2.5510000000000002</v>
      </c>
      <c r="O99" s="74">
        <f>'Balance Sheet - FY'!I99</f>
        <v>4.1040000000000001</v>
      </c>
      <c r="P99" s="68">
        <v>5.9710000000000001</v>
      </c>
      <c r="Q99" s="68">
        <v>0.83399999999999996</v>
      </c>
      <c r="R99" s="68">
        <v>2.8479999999999999</v>
      </c>
      <c r="S99" s="74">
        <f>'Balance Sheet - FY'!J99</f>
        <v>5.0129999999999999</v>
      </c>
      <c r="T99" s="68">
        <v>7.3380000000000001</v>
      </c>
      <c r="U99" s="68">
        <v>0</v>
      </c>
      <c r="V99" s="68">
        <v>0</v>
      </c>
      <c r="W99" s="74">
        <f>'Balance Sheet - FY'!K99</f>
        <v>0</v>
      </c>
      <c r="X99" s="68">
        <v>0</v>
      </c>
      <c r="Y99" s="68">
        <v>52.728000000000002</v>
      </c>
      <c r="Z99" s="68">
        <v>58.09</v>
      </c>
      <c r="AA99" s="74">
        <f>'Balance Sheet - FY'!L99</f>
        <v>0</v>
      </c>
      <c r="AB99" s="85">
        <v>0</v>
      </c>
      <c r="AC99" s="68">
        <v>30.558</v>
      </c>
      <c r="AD99" s="68">
        <v>31.294245</v>
      </c>
    </row>
    <row r="100" spans="1:30" hidden="1" outlineLevel="1" x14ac:dyDescent="0.2">
      <c r="A100" s="61" t="s">
        <v>80</v>
      </c>
      <c r="B100" s="17"/>
      <c r="C100" s="74">
        <f>'Balance Sheet - FY'!F100</f>
        <v>41.773000000000003</v>
      </c>
      <c r="D100" s="68">
        <v>68.361999999999995</v>
      </c>
      <c r="E100" s="68">
        <v>43.317</v>
      </c>
      <c r="F100" s="68">
        <v>32.344999999999999</v>
      </c>
      <c r="G100" s="74">
        <f>'Balance Sheet - FY'!G100</f>
        <v>48.415999999999997</v>
      </c>
      <c r="H100" s="68">
        <v>55.067999999999998</v>
      </c>
      <c r="I100" s="68">
        <v>39.088000000000001</v>
      </c>
      <c r="J100" s="85">
        <v>92.376000000000005</v>
      </c>
      <c r="K100" s="74">
        <f>'Balance Sheet - FY'!H100</f>
        <v>65.503</v>
      </c>
      <c r="L100" s="68">
        <v>54.011000000000003</v>
      </c>
      <c r="M100" s="68">
        <v>81.896000000000001</v>
      </c>
      <c r="N100" s="68">
        <v>85.304000000000002</v>
      </c>
      <c r="O100" s="74">
        <f>'Balance Sheet - FY'!I100</f>
        <v>81.766000000000005</v>
      </c>
      <c r="P100" s="68">
        <v>77.47</v>
      </c>
      <c r="Q100" s="68">
        <v>69.369</v>
      </c>
      <c r="R100" s="68">
        <v>74.251000000000005</v>
      </c>
      <c r="S100" s="74">
        <f>'Balance Sheet - FY'!J100</f>
        <v>99.504999999999995</v>
      </c>
      <c r="T100" s="68">
        <v>104.489</v>
      </c>
      <c r="U100" s="68">
        <v>138.36799999999999</v>
      </c>
      <c r="V100" s="68">
        <v>147.024</v>
      </c>
      <c r="W100" s="74">
        <f>'Balance Sheet - FY'!K100</f>
        <v>134.38800000000001</v>
      </c>
      <c r="X100" s="68">
        <v>151.41800000000001</v>
      </c>
      <c r="Y100" s="68">
        <v>143.56700000000001</v>
      </c>
      <c r="Z100" s="68">
        <v>170.1</v>
      </c>
      <c r="AA100" s="74">
        <f>'Balance Sheet - FY'!L100</f>
        <v>102.104495</v>
      </c>
      <c r="AB100" s="85">
        <v>116.48</v>
      </c>
      <c r="AC100" s="68">
        <v>131.87899999999999</v>
      </c>
      <c r="AD100" s="68">
        <v>120.647322</v>
      </c>
    </row>
    <row r="101" spans="1:30" hidden="1" outlineLevel="2" x14ac:dyDescent="0.2">
      <c r="A101" s="89" t="s">
        <v>130</v>
      </c>
      <c r="B101" s="17"/>
      <c r="C101" s="73">
        <f>'Balance Sheet - FY'!F101</f>
        <v>35.741999999999997</v>
      </c>
      <c r="D101" s="85">
        <v>29.254000000000001</v>
      </c>
      <c r="E101" s="85">
        <v>17.702000000000002</v>
      </c>
      <c r="F101" s="68">
        <v>41.767000000000003</v>
      </c>
      <c r="G101" s="74">
        <f>'Balance Sheet - FY'!G101</f>
        <v>11.247999999999999</v>
      </c>
      <c r="H101" s="85">
        <v>23.564</v>
      </c>
      <c r="I101" s="85">
        <v>26.373000000000001</v>
      </c>
      <c r="J101" s="85">
        <v>21.818000000000001</v>
      </c>
      <c r="K101" s="74">
        <f>'Balance Sheet - FY'!H101</f>
        <v>53.51</v>
      </c>
      <c r="L101" s="85">
        <v>27.242999999999999</v>
      </c>
      <c r="M101" s="85">
        <v>34.423999999999999</v>
      </c>
      <c r="N101" s="85">
        <v>31.716000000000001</v>
      </c>
      <c r="O101" s="74">
        <f>'Balance Sheet - FY'!I101</f>
        <v>31.702999999999999</v>
      </c>
      <c r="P101" s="85">
        <v>30.265999999999998</v>
      </c>
      <c r="Q101" s="85">
        <v>25.696999999999999</v>
      </c>
      <c r="R101" s="85">
        <v>26.71</v>
      </c>
      <c r="S101" s="74">
        <f>'Balance Sheet - FY'!J101</f>
        <v>32.499000000000002</v>
      </c>
      <c r="T101" s="85">
        <v>47.773000000000003</v>
      </c>
      <c r="U101" s="85">
        <v>82.16</v>
      </c>
      <c r="V101" s="85">
        <v>44.302999999999997</v>
      </c>
      <c r="W101" s="74">
        <f>'Balance Sheet - FY'!K101</f>
        <v>10.331</v>
      </c>
      <c r="X101" s="68">
        <v>103.625</v>
      </c>
      <c r="Y101" s="85">
        <v>68.617999999999995</v>
      </c>
      <c r="Z101" s="68">
        <v>37.6</v>
      </c>
      <c r="AA101" s="74">
        <f>'Balance Sheet - FY'!L101</f>
        <v>15.1</v>
      </c>
      <c r="AB101" s="85">
        <v>28.742999999999999</v>
      </c>
      <c r="AC101" s="85">
        <v>45.164000000000001</v>
      </c>
      <c r="AD101" s="85">
        <f>32.733-1.6</f>
        <v>31.132999999999996</v>
      </c>
    </row>
    <row r="102" spans="1:30" hidden="1" outlineLevel="2" x14ac:dyDescent="0.2">
      <c r="A102" s="89" t="s">
        <v>131</v>
      </c>
      <c r="B102" s="17"/>
      <c r="C102" s="73">
        <f>'Balance Sheet - FY'!F102</f>
        <v>16.428000000000004</v>
      </c>
      <c r="D102" s="85">
        <v>12.196999999999999</v>
      </c>
      <c r="E102" s="85">
        <v>19.315999999999999</v>
      </c>
      <c r="F102" s="68">
        <v>16.978999999999999</v>
      </c>
      <c r="G102" s="74">
        <f>'Balance Sheet - FY'!G102</f>
        <v>6.6620000000000008</v>
      </c>
      <c r="H102" s="85">
        <v>6.3000000000000007</v>
      </c>
      <c r="I102" s="85">
        <v>5.8039999999999985</v>
      </c>
      <c r="J102" s="85">
        <v>9.1890000000000001</v>
      </c>
      <c r="K102" s="74">
        <f>'Balance Sheet - FY'!H102</f>
        <v>6.0919999999999987</v>
      </c>
      <c r="L102" s="85">
        <v>7.3030000000000008</v>
      </c>
      <c r="M102" s="85">
        <v>5.963000000000001</v>
      </c>
      <c r="N102" s="85">
        <v>8.4309999999999992</v>
      </c>
      <c r="O102" s="74">
        <f>'Balance Sheet - FY'!I102</f>
        <v>9.7240000000000002</v>
      </c>
      <c r="P102" s="85">
        <v>15.914000000000001</v>
      </c>
      <c r="Q102" s="85">
        <v>4.2729999999999997</v>
      </c>
      <c r="R102" s="85">
        <v>7.3729999999999976</v>
      </c>
      <c r="S102" s="74">
        <f>'Balance Sheet - FY'!J102</f>
        <v>5.1869999999999976</v>
      </c>
      <c r="T102" s="85">
        <v>6.9639999999999986</v>
      </c>
      <c r="U102" s="85">
        <v>6.1820000000000004</v>
      </c>
      <c r="V102" s="85">
        <v>6.9430000000000049</v>
      </c>
      <c r="W102" s="74">
        <f>'Balance Sheet - FY'!K102</f>
        <v>5.8569999999999993</v>
      </c>
      <c r="X102" s="85">
        <v>4.8700000000000045</v>
      </c>
      <c r="Y102" s="85">
        <f>76.035-Y101</f>
        <v>7.4170000000000016</v>
      </c>
      <c r="Z102" s="68">
        <v>8.8000000000000007</v>
      </c>
      <c r="AA102" s="74">
        <f>'Balance Sheet - FY'!L102</f>
        <v>4.5119999999999996</v>
      </c>
      <c r="AB102" s="85">
        <f>32.599-AB101</f>
        <v>3.8559999999999981</v>
      </c>
      <c r="AC102" s="252">
        <v>3.75</v>
      </c>
      <c r="AD102" s="252">
        <f>AD103-AD101</f>
        <v>10.528809000000003</v>
      </c>
    </row>
    <row r="103" spans="1:30" hidden="1" outlineLevel="1" x14ac:dyDescent="0.2">
      <c r="A103" s="61" t="s">
        <v>71</v>
      </c>
      <c r="B103" s="17"/>
      <c r="C103" s="80">
        <f t="shared" ref="C103:AC103" si="84">IFERROR(C101+C102,"n.a.")</f>
        <v>52.17</v>
      </c>
      <c r="D103" s="80">
        <f t="shared" si="84"/>
        <v>41.451000000000001</v>
      </c>
      <c r="E103" s="80">
        <f t="shared" si="84"/>
        <v>37.018000000000001</v>
      </c>
      <c r="F103" s="80">
        <f t="shared" si="84"/>
        <v>58.746000000000002</v>
      </c>
      <c r="G103" s="80">
        <f t="shared" si="84"/>
        <v>17.91</v>
      </c>
      <c r="H103" s="80">
        <f t="shared" si="84"/>
        <v>29.864000000000001</v>
      </c>
      <c r="I103" s="80">
        <f t="shared" si="84"/>
        <v>32.177</v>
      </c>
      <c r="J103" s="80">
        <f t="shared" si="84"/>
        <v>31.007000000000001</v>
      </c>
      <c r="K103" s="80">
        <f t="shared" si="84"/>
        <v>59.601999999999997</v>
      </c>
      <c r="L103" s="80">
        <f t="shared" si="84"/>
        <v>34.545999999999999</v>
      </c>
      <c r="M103" s="80">
        <f t="shared" si="84"/>
        <v>40.387</v>
      </c>
      <c r="N103" s="80">
        <f t="shared" si="84"/>
        <v>40.146999999999998</v>
      </c>
      <c r="O103" s="80">
        <f t="shared" si="84"/>
        <v>41.427</v>
      </c>
      <c r="P103" s="80">
        <f t="shared" si="84"/>
        <v>46.18</v>
      </c>
      <c r="Q103" s="80">
        <f t="shared" si="84"/>
        <v>29.97</v>
      </c>
      <c r="R103" s="80">
        <f t="shared" si="84"/>
        <v>34.082999999999998</v>
      </c>
      <c r="S103" s="80">
        <f t="shared" si="84"/>
        <v>37.686</v>
      </c>
      <c r="T103" s="80">
        <f t="shared" si="84"/>
        <v>54.737000000000002</v>
      </c>
      <c r="U103" s="80">
        <f t="shared" si="84"/>
        <v>88.341999999999999</v>
      </c>
      <c r="V103" s="80">
        <f t="shared" si="84"/>
        <v>51.246000000000002</v>
      </c>
      <c r="W103" s="80">
        <f t="shared" si="84"/>
        <v>16.187999999999999</v>
      </c>
      <c r="X103" s="80">
        <f t="shared" si="84"/>
        <v>108.495</v>
      </c>
      <c r="Y103" s="80">
        <f t="shared" si="84"/>
        <v>76.034999999999997</v>
      </c>
      <c r="Z103" s="80">
        <f t="shared" si="84"/>
        <v>46.400000000000006</v>
      </c>
      <c r="AA103" s="80">
        <f t="shared" si="84"/>
        <v>19.611999999999998</v>
      </c>
      <c r="AB103" s="79">
        <f t="shared" si="84"/>
        <v>32.598999999999997</v>
      </c>
      <c r="AC103" s="80">
        <f t="shared" si="84"/>
        <v>48.914000000000001</v>
      </c>
      <c r="AD103" s="80">
        <v>41.661808999999998</v>
      </c>
    </row>
    <row r="104" spans="1:30" s="22" customFormat="1" collapsed="1" x14ac:dyDescent="0.2">
      <c r="A104" s="91" t="s">
        <v>6</v>
      </c>
      <c r="B104" s="87"/>
      <c r="C104" s="88">
        <f t="shared" ref="C104:J104" si="85">IFERROR(C94+C95+C96+C97+C98+C99+C100+C103,"n.a.")</f>
        <v>3063.5479999999998</v>
      </c>
      <c r="D104" s="88">
        <f t="shared" si="85"/>
        <v>3382.857</v>
      </c>
      <c r="E104" s="88">
        <f t="shared" si="85"/>
        <v>2200.0140000000001</v>
      </c>
      <c r="F104" s="88">
        <f t="shared" si="85"/>
        <v>2243.4180000000001</v>
      </c>
      <c r="G104" s="88">
        <f t="shared" si="85"/>
        <v>2910.2240000000002</v>
      </c>
      <c r="H104" s="88">
        <f t="shared" si="85"/>
        <v>2526.7200000000003</v>
      </c>
      <c r="I104" s="88">
        <f t="shared" si="85"/>
        <v>2469.0120000000006</v>
      </c>
      <c r="J104" s="88">
        <f t="shared" si="85"/>
        <v>2373.8310000000001</v>
      </c>
      <c r="K104" s="88">
        <f t="shared" ref="K104:AD104" si="86">IFERROR(K94+K95+K96+K97+K98+K99+K100+K103,"n.a.")</f>
        <v>3006.03</v>
      </c>
      <c r="L104" s="88">
        <f t="shared" si="86"/>
        <v>2717.8629999999994</v>
      </c>
      <c r="M104" s="88">
        <f t="shared" si="86"/>
        <v>3166.418000000001</v>
      </c>
      <c r="N104" s="88">
        <f t="shared" si="86"/>
        <v>3131.7860000000001</v>
      </c>
      <c r="O104" s="88">
        <f t="shared" si="86"/>
        <v>3604.473</v>
      </c>
      <c r="P104" s="88">
        <f t="shared" si="86"/>
        <v>2666.7149999999992</v>
      </c>
      <c r="Q104" s="88">
        <f t="shared" si="86"/>
        <v>2516.6099999999997</v>
      </c>
      <c r="R104" s="88">
        <f t="shared" si="86"/>
        <v>2504.0029999999997</v>
      </c>
      <c r="S104" s="88">
        <f t="shared" si="86"/>
        <v>2716.0910000000003</v>
      </c>
      <c r="T104" s="88">
        <f t="shared" si="86"/>
        <v>1980.2050000000002</v>
      </c>
      <c r="U104" s="88">
        <f t="shared" si="86"/>
        <v>3071.9929999999999</v>
      </c>
      <c r="V104" s="88">
        <f t="shared" si="86"/>
        <v>3179.9610000000002</v>
      </c>
      <c r="W104" s="88">
        <f t="shared" si="86"/>
        <v>3623.989</v>
      </c>
      <c r="X104" s="88">
        <f t="shared" si="86"/>
        <v>3033.5970000000002</v>
      </c>
      <c r="Y104" s="88">
        <f t="shared" si="86"/>
        <v>3317.3829999999998</v>
      </c>
      <c r="Z104" s="88">
        <f t="shared" si="86"/>
        <v>3944.19</v>
      </c>
      <c r="AA104" s="88">
        <f t="shared" si="86"/>
        <v>3342.229741000001</v>
      </c>
      <c r="AB104" s="88">
        <f t="shared" si="86"/>
        <v>3566.7489999999998</v>
      </c>
      <c r="AC104" s="88">
        <f t="shared" si="86"/>
        <v>3720.5930000000003</v>
      </c>
      <c r="AD104" s="88">
        <f t="shared" si="86"/>
        <v>2783.1293529999998</v>
      </c>
    </row>
    <row r="105" spans="1:30" hidden="1" outlineLevel="1" x14ac:dyDescent="0.2">
      <c r="A105" s="29" t="s">
        <v>7</v>
      </c>
      <c r="B105" s="17"/>
      <c r="C105" s="74">
        <f>'Balance Sheet - FY'!F105</f>
        <v>0</v>
      </c>
      <c r="D105" s="68">
        <v>39.966999999999999</v>
      </c>
      <c r="E105" s="68"/>
      <c r="F105" s="68">
        <v>92.775999999999996</v>
      </c>
      <c r="G105" s="74">
        <f>'Balance Sheet - FY'!G105</f>
        <v>0</v>
      </c>
      <c r="H105" s="68">
        <v>0</v>
      </c>
      <c r="I105" s="68">
        <v>0</v>
      </c>
      <c r="J105" s="85">
        <v>0</v>
      </c>
      <c r="K105" s="74">
        <f>'Balance Sheet - FY'!H105</f>
        <v>0</v>
      </c>
      <c r="L105" s="68">
        <v>0</v>
      </c>
      <c r="M105" s="68">
        <v>0</v>
      </c>
      <c r="N105" s="68">
        <v>0</v>
      </c>
      <c r="O105" s="74">
        <f>'Balance Sheet - FY'!I105</f>
        <v>0</v>
      </c>
      <c r="P105" s="68">
        <v>0</v>
      </c>
      <c r="Q105" s="68">
        <v>0</v>
      </c>
      <c r="R105" s="68">
        <v>0</v>
      </c>
      <c r="S105" s="74">
        <f>'Balance Sheet - FY'!J105</f>
        <v>0</v>
      </c>
      <c r="T105" s="68">
        <v>0</v>
      </c>
      <c r="U105" s="68">
        <v>0</v>
      </c>
      <c r="V105" s="68">
        <v>0</v>
      </c>
      <c r="W105" s="74">
        <f>'Balance Sheet - FY'!K105</f>
        <v>0</v>
      </c>
      <c r="X105" s="68">
        <v>0</v>
      </c>
      <c r="Y105" s="68">
        <v>0</v>
      </c>
      <c r="Z105" s="68"/>
      <c r="AA105" s="74">
        <f>'Balance Sheet - FY'!L105</f>
        <v>0</v>
      </c>
      <c r="AB105" s="68">
        <v>0</v>
      </c>
      <c r="AC105" s="68">
        <v>0</v>
      </c>
      <c r="AD105" s="68">
        <v>0</v>
      </c>
    </row>
    <row r="106" spans="1:30" s="22" customFormat="1" collapsed="1" x14ac:dyDescent="0.2">
      <c r="A106" s="99" t="s">
        <v>81</v>
      </c>
      <c r="B106" s="99"/>
      <c r="C106" s="100">
        <f t="shared" ref="C106:J106" si="87">IFERROR(C93+C104+C105,"n.a.")</f>
        <v>11091.602999999999</v>
      </c>
      <c r="D106" s="100">
        <f t="shared" si="87"/>
        <v>9719.9360000000015</v>
      </c>
      <c r="E106" s="100">
        <f t="shared" si="87"/>
        <v>8371.3719999999994</v>
      </c>
      <c r="F106" s="100">
        <f t="shared" si="87"/>
        <v>8382.01</v>
      </c>
      <c r="G106" s="100">
        <f t="shared" si="87"/>
        <v>8556.9060000000009</v>
      </c>
      <c r="H106" s="100">
        <f t="shared" si="87"/>
        <v>8006.3850000000002</v>
      </c>
      <c r="I106" s="100">
        <f t="shared" si="87"/>
        <v>7885.4640000000018</v>
      </c>
      <c r="J106" s="100">
        <f t="shared" si="87"/>
        <v>7865.9610000000002</v>
      </c>
      <c r="K106" s="100">
        <f t="shared" ref="K106:AD106" si="88">IFERROR(K93+K104+K105,"n.a.")</f>
        <v>8480.77</v>
      </c>
      <c r="L106" s="100">
        <f t="shared" si="88"/>
        <v>8785.0759999999991</v>
      </c>
      <c r="M106" s="100">
        <f t="shared" si="88"/>
        <v>8712.4380000000001</v>
      </c>
      <c r="N106" s="100">
        <f t="shared" si="88"/>
        <v>8744.3110000000015</v>
      </c>
      <c r="O106" s="100">
        <f t="shared" si="88"/>
        <v>9107.8230000000003</v>
      </c>
      <c r="P106" s="100">
        <f t="shared" si="88"/>
        <v>8502.0789999999979</v>
      </c>
      <c r="Q106" s="100">
        <f t="shared" si="88"/>
        <v>8912.348</v>
      </c>
      <c r="R106" s="100">
        <f t="shared" si="88"/>
        <v>8525.128999999999</v>
      </c>
      <c r="S106" s="100">
        <f t="shared" si="88"/>
        <v>9186.739999999998</v>
      </c>
      <c r="T106" s="100">
        <f t="shared" si="88"/>
        <v>7866.4479999999994</v>
      </c>
      <c r="U106" s="100">
        <f t="shared" si="88"/>
        <v>8015.6859999999997</v>
      </c>
      <c r="V106" s="100">
        <f t="shared" si="88"/>
        <v>7915.3939999999993</v>
      </c>
      <c r="W106" s="100">
        <f t="shared" si="88"/>
        <v>8840.5339999999997</v>
      </c>
      <c r="X106" s="100">
        <f t="shared" si="88"/>
        <v>8102.9009999999998</v>
      </c>
      <c r="Y106" s="100">
        <f t="shared" si="88"/>
        <v>8317.8470000000016</v>
      </c>
      <c r="Z106" s="100">
        <f t="shared" si="88"/>
        <v>9001.5550000000003</v>
      </c>
      <c r="AA106" s="100">
        <f t="shared" si="88"/>
        <v>8443.7766990000018</v>
      </c>
      <c r="AB106" s="100">
        <f t="shared" si="88"/>
        <v>8248.2010000000009</v>
      </c>
      <c r="AC106" s="100">
        <f t="shared" si="88"/>
        <v>8371.9570000000003</v>
      </c>
      <c r="AD106" s="100">
        <f t="shared" si="88"/>
        <v>7741.3300180000006</v>
      </c>
    </row>
    <row r="108" spans="1:30" hidden="1" outlineLevel="1" x14ac:dyDescent="0.2">
      <c r="A108" s="62" t="s">
        <v>73</v>
      </c>
      <c r="B108" s="33"/>
      <c r="C108" s="52">
        <f>'Balance Sheet - FY'!F108</f>
        <v>1342.2809999999999</v>
      </c>
      <c r="D108" s="65">
        <v>1342.2809999999999</v>
      </c>
      <c r="E108" s="65">
        <v>1904.375</v>
      </c>
      <c r="F108" s="65">
        <v>1904.375</v>
      </c>
      <c r="G108" s="52">
        <f>'Balance Sheet - FY'!G108</f>
        <v>1904.375</v>
      </c>
      <c r="H108" s="65">
        <v>1904.375</v>
      </c>
      <c r="I108" s="65">
        <v>1904.375</v>
      </c>
      <c r="J108" s="175">
        <v>1904.375</v>
      </c>
      <c r="K108" s="52">
        <f>'Balance Sheet - FY'!H108</f>
        <v>1904.375</v>
      </c>
      <c r="L108" s="65">
        <v>1904.375</v>
      </c>
      <c r="M108" s="65">
        <v>1904.375</v>
      </c>
      <c r="N108" s="65">
        <v>1904.375</v>
      </c>
      <c r="O108" s="52">
        <f>'Balance Sheet - FY'!I108</f>
        <v>1904.375</v>
      </c>
      <c r="P108" s="65">
        <v>1904.375</v>
      </c>
      <c r="Q108" s="65">
        <v>1904.375</v>
      </c>
      <c r="R108" s="65">
        <v>1904.375</v>
      </c>
      <c r="S108" s="52">
        <f>'Balance Sheet - FY'!J108</f>
        <v>1904.375</v>
      </c>
      <c r="T108" s="65">
        <v>1904.375</v>
      </c>
      <c r="U108" s="65">
        <v>1904.375</v>
      </c>
      <c r="V108" s="65">
        <v>1904.375</v>
      </c>
      <c r="W108" s="52">
        <f>'Balance Sheet - FY'!K108</f>
        <v>1904.375</v>
      </c>
      <c r="X108" s="65">
        <v>1904.375</v>
      </c>
      <c r="Y108" s="65">
        <v>1904.3749359999999</v>
      </c>
      <c r="Z108" s="65">
        <v>1904.37</v>
      </c>
      <c r="AA108" s="52">
        <f>'Balance Sheet - FY'!L108</f>
        <v>1904.375</v>
      </c>
      <c r="AB108" s="65">
        <v>1904.375</v>
      </c>
      <c r="AC108" s="65">
        <v>1904.375</v>
      </c>
      <c r="AD108" s="65">
        <v>1904.3749359999999</v>
      </c>
    </row>
    <row r="109" spans="1:30" hidden="1" outlineLevel="1" x14ac:dyDescent="0.2">
      <c r="A109" s="61" t="s">
        <v>74</v>
      </c>
      <c r="B109" s="17"/>
      <c r="C109" s="74">
        <f>'Balance Sheet - FY'!F109</f>
        <v>1656.741</v>
      </c>
      <c r="D109" s="68">
        <v>1614.7439999999999</v>
      </c>
      <c r="E109" s="68">
        <v>2028.549</v>
      </c>
      <c r="F109" s="68">
        <v>2076.0369999999998</v>
      </c>
      <c r="G109" s="74">
        <f>'Balance Sheet - FY'!G109</f>
        <v>2035.991</v>
      </c>
      <c r="H109" s="68">
        <v>2210.9369999999999</v>
      </c>
      <c r="I109" s="68">
        <v>2166.527</v>
      </c>
      <c r="J109" s="85">
        <v>2116.6689999999999</v>
      </c>
      <c r="K109" s="74">
        <f>'Balance Sheet - FY'!H109</f>
        <v>2132.14</v>
      </c>
      <c r="L109" s="68">
        <v>2601.9070000000002</v>
      </c>
      <c r="M109" s="68">
        <v>2375.1869999999999</v>
      </c>
      <c r="N109" s="68">
        <v>2373.3609999999999</v>
      </c>
      <c r="O109" s="74">
        <f>'Balance Sheet - FY'!I109</f>
        <v>2381.94</v>
      </c>
      <c r="P109" s="68">
        <v>2551.7220000000002</v>
      </c>
      <c r="Q109" s="68">
        <v>2504.3679999999999</v>
      </c>
      <c r="R109" s="68">
        <v>2425.511</v>
      </c>
      <c r="S109" s="74">
        <f>'Balance Sheet - FY'!J109</f>
        <v>2513.2620000000002</v>
      </c>
      <c r="T109" s="68">
        <v>2578.277</v>
      </c>
      <c r="U109" s="68">
        <v>2653.4189999999999</v>
      </c>
      <c r="V109" s="68">
        <v>2658.5680000000002</v>
      </c>
      <c r="W109" s="74">
        <f>'Balance Sheet - FY'!K109</f>
        <v>2700.9409999999998</v>
      </c>
      <c r="X109" s="68">
        <v>3146.9549999999999</v>
      </c>
      <c r="Y109" s="68">
        <v>3143.0772459999998</v>
      </c>
      <c r="Z109" s="68">
        <v>3244.53</v>
      </c>
      <c r="AA109" s="74">
        <f>'Balance Sheet - FY'!L109</f>
        <v>3001.6591469999998</v>
      </c>
      <c r="AB109" s="85">
        <v>3437.375</v>
      </c>
      <c r="AC109" s="68">
        <v>3198.9140000000002</v>
      </c>
      <c r="AD109" s="68">
        <v>3207.4277750000001</v>
      </c>
    </row>
    <row r="110" spans="1:30" hidden="1" outlineLevel="1" x14ac:dyDescent="0.2">
      <c r="A110" s="61" t="s">
        <v>20</v>
      </c>
      <c r="B110" s="17"/>
      <c r="C110" s="74">
        <f>'Balance Sheet - FY'!F110</f>
        <v>135.06299999999999</v>
      </c>
      <c r="D110" s="68">
        <v>-27.942</v>
      </c>
      <c r="E110" s="68">
        <v>66.984999999999999</v>
      </c>
      <c r="F110" s="68">
        <v>123.57899999999999</v>
      </c>
      <c r="G110" s="74">
        <f>'Balance Sheet - FY'!G110</f>
        <v>176.392</v>
      </c>
      <c r="H110" s="68">
        <v>90.369</v>
      </c>
      <c r="I110" s="68">
        <v>172.04300000000001</v>
      </c>
      <c r="J110" s="85">
        <v>362.54199999999997</v>
      </c>
      <c r="K110" s="74">
        <f>'Balance Sheet - FY'!H110</f>
        <v>431.60599999999999</v>
      </c>
      <c r="L110" s="68">
        <v>97.614000000000004</v>
      </c>
      <c r="M110" s="68">
        <v>297.91699999999997</v>
      </c>
      <c r="N110" s="68">
        <v>372.666</v>
      </c>
      <c r="O110" s="74">
        <f>'Balance Sheet - FY'!I110</f>
        <v>438.13400000000001</v>
      </c>
      <c r="P110" s="68">
        <v>37.219000000000001</v>
      </c>
      <c r="Q110" s="68">
        <v>-103.28</v>
      </c>
      <c r="R110" s="68">
        <v>-23.584</v>
      </c>
      <c r="S110" s="74">
        <f>'Balance Sheet - FY'!J110</f>
        <v>29.780999999999999</v>
      </c>
      <c r="T110" s="68">
        <v>39.006999999999998</v>
      </c>
      <c r="U110" s="68">
        <v>123.09699999999999</v>
      </c>
      <c r="V110" s="68">
        <v>223.959</v>
      </c>
      <c r="W110" s="74">
        <f>'Balance Sheet - FY'!K110</f>
        <v>302.79599999999999</v>
      </c>
      <c r="X110" s="68">
        <v>107.51900000000001</v>
      </c>
      <c r="Y110" s="68">
        <v>221.416539</v>
      </c>
      <c r="Z110" s="68">
        <v>338.38</v>
      </c>
      <c r="AA110" s="74">
        <f>'Balance Sheet - FY'!L110</f>
        <v>417.759973</v>
      </c>
      <c r="AB110" s="85">
        <v>111.645</v>
      </c>
      <c r="AC110" s="68">
        <v>232.09</v>
      </c>
      <c r="AD110" s="68">
        <v>393.04408899999999</v>
      </c>
    </row>
    <row r="111" spans="1:30" s="22" customFormat="1" hidden="1" outlineLevel="1" x14ac:dyDescent="0.2">
      <c r="A111" s="29" t="s">
        <v>15</v>
      </c>
      <c r="B111" s="17"/>
      <c r="C111" s="51">
        <f t="shared" ref="C111:J111" si="89">IFERROR(C108+C109+C110,"n.a.")</f>
        <v>3134.085</v>
      </c>
      <c r="D111" s="51">
        <f t="shared" si="89"/>
        <v>2929.0829999999996</v>
      </c>
      <c r="E111" s="51">
        <f t="shared" si="89"/>
        <v>3999.9090000000001</v>
      </c>
      <c r="F111" s="51">
        <f t="shared" si="89"/>
        <v>4103.991</v>
      </c>
      <c r="G111" s="51">
        <f t="shared" si="89"/>
        <v>4116.7579999999998</v>
      </c>
      <c r="H111" s="51">
        <f t="shared" si="89"/>
        <v>4205.6809999999996</v>
      </c>
      <c r="I111" s="51">
        <f t="shared" si="89"/>
        <v>4242.9449999999997</v>
      </c>
      <c r="J111" s="51">
        <f t="shared" si="89"/>
        <v>4383.5860000000002</v>
      </c>
      <c r="K111" s="51">
        <f t="shared" ref="K111:AD111" si="90">IFERROR(K108+K109+K110,"n.a.")</f>
        <v>4468.1210000000001</v>
      </c>
      <c r="L111" s="51">
        <f t="shared" si="90"/>
        <v>4603.8959999999997</v>
      </c>
      <c r="M111" s="51">
        <f t="shared" si="90"/>
        <v>4577.4790000000003</v>
      </c>
      <c r="N111" s="51">
        <f t="shared" si="90"/>
        <v>4650.402</v>
      </c>
      <c r="O111" s="51">
        <f t="shared" si="90"/>
        <v>4724.4490000000005</v>
      </c>
      <c r="P111" s="51">
        <f t="shared" si="90"/>
        <v>4493.3159999999998</v>
      </c>
      <c r="Q111" s="51">
        <f t="shared" si="90"/>
        <v>4305.4630000000006</v>
      </c>
      <c r="R111" s="51">
        <f t="shared" si="90"/>
        <v>4306.3020000000006</v>
      </c>
      <c r="S111" s="51">
        <f t="shared" si="90"/>
        <v>4447.4180000000006</v>
      </c>
      <c r="T111" s="51">
        <f t="shared" si="90"/>
        <v>4521.6589999999997</v>
      </c>
      <c r="U111" s="51">
        <f t="shared" si="90"/>
        <v>4680.8909999999996</v>
      </c>
      <c r="V111" s="51">
        <f t="shared" si="90"/>
        <v>4786.902</v>
      </c>
      <c r="W111" s="51">
        <f t="shared" si="90"/>
        <v>4908.1120000000001</v>
      </c>
      <c r="X111" s="51">
        <f t="shared" si="90"/>
        <v>5158.8490000000002</v>
      </c>
      <c r="Y111" s="51">
        <f t="shared" si="90"/>
        <v>5268.8687209999998</v>
      </c>
      <c r="Z111" s="51">
        <f t="shared" si="90"/>
        <v>5487.28</v>
      </c>
      <c r="AA111" s="51">
        <f t="shared" si="90"/>
        <v>5323.7941200000005</v>
      </c>
      <c r="AB111" s="121">
        <f t="shared" si="90"/>
        <v>5453.3950000000004</v>
      </c>
      <c r="AC111" s="51">
        <f t="shared" si="90"/>
        <v>5335.3790000000008</v>
      </c>
      <c r="AD111" s="51">
        <f t="shared" si="90"/>
        <v>5504.8468000000003</v>
      </c>
    </row>
    <row r="112" spans="1:30" hidden="1" outlineLevel="1" x14ac:dyDescent="0.2">
      <c r="A112" s="61" t="s">
        <v>74</v>
      </c>
      <c r="B112" s="17"/>
      <c r="C112" s="74">
        <f>'Balance Sheet - FY'!F112</f>
        <v>128.21100000000001</v>
      </c>
      <c r="D112" s="68">
        <v>72.902000000000001</v>
      </c>
      <c r="E112" s="68">
        <v>56.787999999999997</v>
      </c>
      <c r="F112" s="68">
        <v>55.292000000000002</v>
      </c>
      <c r="G112" s="74">
        <f>'Balance Sheet - FY'!G112</f>
        <v>60.936</v>
      </c>
      <c r="H112" s="68">
        <v>63.192</v>
      </c>
      <c r="I112" s="68">
        <v>75.106999999999999</v>
      </c>
      <c r="J112" s="85">
        <v>72.378</v>
      </c>
      <c r="K112" s="74">
        <f>'Balance Sheet - FY'!H112</f>
        <v>72.040000000000006</v>
      </c>
      <c r="L112" s="68">
        <v>80.19</v>
      </c>
      <c r="M112" s="68">
        <v>77.161000000000001</v>
      </c>
      <c r="N112" s="68">
        <v>78.956999999999994</v>
      </c>
      <c r="O112" s="74">
        <f>'Balance Sheet - FY'!I112</f>
        <v>82.619</v>
      </c>
      <c r="P112" s="68">
        <v>95.71</v>
      </c>
      <c r="Q112" s="68">
        <v>97.11</v>
      </c>
      <c r="R112" s="68">
        <v>91.847999999999999</v>
      </c>
      <c r="S112" s="74">
        <f>'Balance Sheet - FY'!J112</f>
        <v>91.54</v>
      </c>
      <c r="T112" s="68">
        <v>107.97</v>
      </c>
      <c r="U112" s="68">
        <v>109.33799999999999</v>
      </c>
      <c r="V112" s="68">
        <v>111.779</v>
      </c>
      <c r="W112" s="74">
        <f>'Balance Sheet - FY'!K112</f>
        <v>115.73</v>
      </c>
      <c r="X112" s="68">
        <v>132.816</v>
      </c>
      <c r="Y112" s="68">
        <v>139.108374</v>
      </c>
      <c r="Z112" s="68">
        <v>138.43</v>
      </c>
      <c r="AA112" s="74">
        <f>'Balance Sheet - FY'!L112</f>
        <v>111.89399800000001</v>
      </c>
      <c r="AB112" s="85">
        <v>124.486</v>
      </c>
      <c r="AC112" s="68">
        <v>109.679</v>
      </c>
      <c r="AD112" s="68">
        <v>109.11825999999999</v>
      </c>
    </row>
    <row r="113" spans="1:30" hidden="1" outlineLevel="1" x14ac:dyDescent="0.2">
      <c r="A113" s="61" t="s">
        <v>20</v>
      </c>
      <c r="B113" s="17"/>
      <c r="C113" s="74">
        <f>'Balance Sheet - FY'!F113</f>
        <v>12.561999999999999</v>
      </c>
      <c r="D113" s="68">
        <v>0.89600000000000002</v>
      </c>
      <c r="E113" s="68">
        <v>0.61</v>
      </c>
      <c r="F113" s="68">
        <v>0.28399999999999997</v>
      </c>
      <c r="G113" s="74">
        <f>'Balance Sheet - FY'!G113</f>
        <v>-0.68500000000000005</v>
      </c>
      <c r="H113" s="68">
        <v>-1.254</v>
      </c>
      <c r="I113" s="68">
        <v>5.1870000000000003</v>
      </c>
      <c r="J113" s="85">
        <v>8.8360000000000003</v>
      </c>
      <c r="K113" s="74">
        <f>'Balance Sheet - FY'!H113</f>
        <v>10.766</v>
      </c>
      <c r="L113" s="68">
        <v>3.8220000000000001</v>
      </c>
      <c r="M113" s="68">
        <v>9.0739999999999998</v>
      </c>
      <c r="N113" s="68">
        <v>13.042999999999999</v>
      </c>
      <c r="O113" s="74">
        <f>'Balance Sheet - FY'!I113</f>
        <v>19.562999999999999</v>
      </c>
      <c r="P113" s="68">
        <v>1.2450000000000001</v>
      </c>
      <c r="Q113" s="68">
        <v>1.571</v>
      </c>
      <c r="R113" s="68">
        <v>5.7240000000000002</v>
      </c>
      <c r="S113" s="74">
        <f>'Balance Sheet - FY'!J113</f>
        <v>12.891999999999999</v>
      </c>
      <c r="T113" s="68">
        <v>3.1680000000000001</v>
      </c>
      <c r="U113" s="68">
        <v>8.4429999999999996</v>
      </c>
      <c r="V113" s="68">
        <v>12.266</v>
      </c>
      <c r="W113" s="74">
        <f>'Balance Sheet - FY'!K113</f>
        <v>18.797000000000001</v>
      </c>
      <c r="X113" s="68">
        <v>2.323</v>
      </c>
      <c r="Y113" s="68">
        <v>11.629906999999999</v>
      </c>
      <c r="Z113" s="68">
        <v>20.92</v>
      </c>
      <c r="AA113" s="74">
        <f>'Balance Sheet - FY'!L113</f>
        <v>18.1402</v>
      </c>
      <c r="AB113" s="85">
        <v>3.3260000000000001</v>
      </c>
      <c r="AC113" s="68">
        <v>10.542999999999999</v>
      </c>
      <c r="AD113" s="68">
        <v>17.995037</v>
      </c>
    </row>
    <row r="114" spans="1:30" s="22" customFormat="1" hidden="1" outlineLevel="1" x14ac:dyDescent="0.2">
      <c r="A114" s="29" t="s">
        <v>16</v>
      </c>
      <c r="B114" s="17"/>
      <c r="C114" s="51">
        <f t="shared" ref="C114:AD114" si="91">IFERROR(C112+C113,"n.a.")</f>
        <v>140.77300000000002</v>
      </c>
      <c r="D114" s="51">
        <f t="shared" si="91"/>
        <v>73.798000000000002</v>
      </c>
      <c r="E114" s="51">
        <f t="shared" si="91"/>
        <v>57.397999999999996</v>
      </c>
      <c r="F114" s="51">
        <f t="shared" si="91"/>
        <v>55.576000000000001</v>
      </c>
      <c r="G114" s="51">
        <f t="shared" si="91"/>
        <v>60.250999999999998</v>
      </c>
      <c r="H114" s="51">
        <f t="shared" si="91"/>
        <v>61.938000000000002</v>
      </c>
      <c r="I114" s="51">
        <f t="shared" si="91"/>
        <v>80.293999999999997</v>
      </c>
      <c r="J114" s="51">
        <f t="shared" si="91"/>
        <v>81.213999999999999</v>
      </c>
      <c r="K114" s="51">
        <f t="shared" si="91"/>
        <v>82.806000000000012</v>
      </c>
      <c r="L114" s="51">
        <f t="shared" si="91"/>
        <v>84.012</v>
      </c>
      <c r="M114" s="51">
        <f t="shared" si="91"/>
        <v>86.234999999999999</v>
      </c>
      <c r="N114" s="51">
        <f t="shared" si="91"/>
        <v>92</v>
      </c>
      <c r="O114" s="51">
        <f t="shared" si="91"/>
        <v>102.182</v>
      </c>
      <c r="P114" s="51">
        <f t="shared" si="91"/>
        <v>96.954999999999998</v>
      </c>
      <c r="Q114" s="51">
        <f t="shared" si="91"/>
        <v>98.680999999999997</v>
      </c>
      <c r="R114" s="51">
        <f t="shared" si="91"/>
        <v>97.572000000000003</v>
      </c>
      <c r="S114" s="51">
        <f t="shared" si="91"/>
        <v>104.432</v>
      </c>
      <c r="T114" s="51">
        <f t="shared" si="91"/>
        <v>111.13800000000001</v>
      </c>
      <c r="U114" s="51">
        <f t="shared" si="91"/>
        <v>117.78099999999999</v>
      </c>
      <c r="V114" s="51">
        <f t="shared" si="91"/>
        <v>124.045</v>
      </c>
      <c r="W114" s="51">
        <f t="shared" si="91"/>
        <v>134.52700000000002</v>
      </c>
      <c r="X114" s="51">
        <f t="shared" si="91"/>
        <v>135.13900000000001</v>
      </c>
      <c r="Y114" s="51">
        <f t="shared" si="91"/>
        <v>150.738281</v>
      </c>
      <c r="Z114" s="51">
        <f t="shared" si="91"/>
        <v>159.35000000000002</v>
      </c>
      <c r="AA114" s="51">
        <f t="shared" si="91"/>
        <v>130.034198</v>
      </c>
      <c r="AB114" s="51">
        <f t="shared" si="91"/>
        <v>127.812</v>
      </c>
      <c r="AC114" s="51">
        <f t="shared" si="91"/>
        <v>120.22200000000001</v>
      </c>
      <c r="AD114" s="51">
        <f t="shared" si="91"/>
        <v>127.11329699999999</v>
      </c>
    </row>
    <row r="115" spans="1:30" s="22" customFormat="1" collapsed="1" x14ac:dyDescent="0.2">
      <c r="A115" s="99" t="s">
        <v>4</v>
      </c>
      <c r="B115" s="99"/>
      <c r="C115" s="100">
        <f t="shared" ref="C115:J115" si="92">IFERROR(C111+C114,"n.a.")</f>
        <v>3274.8580000000002</v>
      </c>
      <c r="D115" s="100">
        <f t="shared" si="92"/>
        <v>3002.8809999999994</v>
      </c>
      <c r="E115" s="100">
        <f t="shared" si="92"/>
        <v>4057.3070000000002</v>
      </c>
      <c r="F115" s="100">
        <f t="shared" si="92"/>
        <v>4159.567</v>
      </c>
      <c r="G115" s="100">
        <f t="shared" si="92"/>
        <v>4177.009</v>
      </c>
      <c r="H115" s="100">
        <f t="shared" si="92"/>
        <v>4267.6189999999997</v>
      </c>
      <c r="I115" s="100">
        <f t="shared" si="92"/>
        <v>4323.2389999999996</v>
      </c>
      <c r="J115" s="100">
        <f t="shared" si="92"/>
        <v>4464.8</v>
      </c>
      <c r="K115" s="100">
        <f t="shared" ref="K115:AD115" si="93">IFERROR(K111+K114,"n.a.")</f>
        <v>4550.9269999999997</v>
      </c>
      <c r="L115" s="100">
        <f t="shared" si="93"/>
        <v>4687.9079999999994</v>
      </c>
      <c r="M115" s="100">
        <f t="shared" si="93"/>
        <v>4663.7139999999999</v>
      </c>
      <c r="N115" s="100">
        <f t="shared" si="93"/>
        <v>4742.402</v>
      </c>
      <c r="O115" s="100">
        <f t="shared" si="93"/>
        <v>4826.6310000000003</v>
      </c>
      <c r="P115" s="100">
        <f t="shared" si="93"/>
        <v>4590.2709999999997</v>
      </c>
      <c r="Q115" s="100">
        <f t="shared" si="93"/>
        <v>4404.1440000000002</v>
      </c>
      <c r="R115" s="100">
        <f t="shared" si="93"/>
        <v>4403.8740000000007</v>
      </c>
      <c r="S115" s="100">
        <f t="shared" si="93"/>
        <v>4551.8500000000004</v>
      </c>
      <c r="T115" s="100">
        <f t="shared" si="93"/>
        <v>4632.7969999999996</v>
      </c>
      <c r="U115" s="100">
        <f t="shared" si="93"/>
        <v>4798.6719999999996</v>
      </c>
      <c r="V115" s="100">
        <f t="shared" si="93"/>
        <v>4910.9470000000001</v>
      </c>
      <c r="W115" s="100">
        <f t="shared" si="93"/>
        <v>5042.6390000000001</v>
      </c>
      <c r="X115" s="100">
        <f t="shared" si="93"/>
        <v>5293.9880000000003</v>
      </c>
      <c r="Y115" s="100">
        <f t="shared" si="93"/>
        <v>5419.6070019999997</v>
      </c>
      <c r="Z115" s="100">
        <f t="shared" si="93"/>
        <v>5646.63</v>
      </c>
      <c r="AA115" s="100">
        <f t="shared" si="93"/>
        <v>5453.8283180000008</v>
      </c>
      <c r="AB115" s="100">
        <f t="shared" si="93"/>
        <v>5581.2070000000003</v>
      </c>
      <c r="AC115" s="100">
        <f t="shared" si="93"/>
        <v>5455.6010000000006</v>
      </c>
      <c r="AD115" s="100">
        <f t="shared" si="93"/>
        <v>5631.9600970000001</v>
      </c>
    </row>
    <row r="116" spans="1:30" x14ac:dyDescent="0.2">
      <c r="B116" s="95"/>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row>
    <row r="117" spans="1:30" s="22" customFormat="1" x14ac:dyDescent="0.2">
      <c r="A117" s="99" t="s">
        <v>8</v>
      </c>
      <c r="B117" s="99"/>
      <c r="C117" s="100">
        <f t="shared" ref="C117:J117" si="94">IFERROR(C106+C115,"n.a.")</f>
        <v>14366.460999999999</v>
      </c>
      <c r="D117" s="100">
        <f t="shared" si="94"/>
        <v>12722.817000000001</v>
      </c>
      <c r="E117" s="100">
        <f t="shared" si="94"/>
        <v>12428.679</v>
      </c>
      <c r="F117" s="100">
        <f t="shared" si="94"/>
        <v>12541.577000000001</v>
      </c>
      <c r="G117" s="100">
        <f t="shared" si="94"/>
        <v>12733.915000000001</v>
      </c>
      <c r="H117" s="100">
        <f t="shared" si="94"/>
        <v>12274.004000000001</v>
      </c>
      <c r="I117" s="100">
        <f t="shared" si="94"/>
        <v>12208.703000000001</v>
      </c>
      <c r="J117" s="100">
        <f t="shared" si="94"/>
        <v>12330.761</v>
      </c>
      <c r="K117" s="100">
        <f t="shared" ref="K117:AD117" si="95">IFERROR(K106+K115,"n.a.")</f>
        <v>13031.697</v>
      </c>
      <c r="L117" s="100">
        <f t="shared" si="95"/>
        <v>13472.983999999999</v>
      </c>
      <c r="M117" s="100">
        <f t="shared" si="95"/>
        <v>13376.152</v>
      </c>
      <c r="N117" s="100">
        <f t="shared" si="95"/>
        <v>13486.713000000002</v>
      </c>
      <c r="O117" s="100">
        <f t="shared" si="95"/>
        <v>13934.454000000002</v>
      </c>
      <c r="P117" s="100">
        <f t="shared" si="95"/>
        <v>13092.349999999999</v>
      </c>
      <c r="Q117" s="100">
        <f t="shared" si="95"/>
        <v>13316.492</v>
      </c>
      <c r="R117" s="100">
        <f t="shared" si="95"/>
        <v>12929.003000000001</v>
      </c>
      <c r="S117" s="100">
        <f t="shared" si="95"/>
        <v>13738.589999999998</v>
      </c>
      <c r="T117" s="100">
        <f t="shared" si="95"/>
        <v>12499.244999999999</v>
      </c>
      <c r="U117" s="100">
        <f t="shared" si="95"/>
        <v>12814.358</v>
      </c>
      <c r="V117" s="100">
        <f t="shared" si="95"/>
        <v>12826.341</v>
      </c>
      <c r="W117" s="100">
        <f t="shared" si="95"/>
        <v>13883.172999999999</v>
      </c>
      <c r="X117" s="100">
        <f t="shared" si="95"/>
        <v>13396.888999999999</v>
      </c>
      <c r="Y117" s="100">
        <f t="shared" si="95"/>
        <v>13737.454002000002</v>
      </c>
      <c r="Z117" s="100">
        <f t="shared" si="95"/>
        <v>14648.185000000001</v>
      </c>
      <c r="AA117" s="100">
        <f t="shared" si="95"/>
        <v>13897.605017000002</v>
      </c>
      <c r="AB117" s="100">
        <f t="shared" si="95"/>
        <v>13829.408000000001</v>
      </c>
      <c r="AC117" s="100">
        <f t="shared" si="95"/>
        <v>13827.558000000001</v>
      </c>
      <c r="AD117" s="100">
        <f t="shared" si="95"/>
        <v>13373.290115</v>
      </c>
    </row>
    <row r="120" spans="1:30" x14ac:dyDescent="0.2">
      <c r="A120" s="259" t="s">
        <v>201</v>
      </c>
      <c r="B120" s="259"/>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
      <c r="Z120" s="2"/>
      <c r="AA120" s="2"/>
      <c r="AB120" s="2"/>
      <c r="AC120" s="2"/>
      <c r="AD120" s="2"/>
    </row>
    <row r="121" spans="1:30" x14ac:dyDescent="0.2">
      <c r="A121" s="259" t="s">
        <v>202</v>
      </c>
      <c r="B121" s="259"/>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
      <c r="Z121" s="2"/>
      <c r="AA121" s="2"/>
      <c r="AB121" s="2"/>
      <c r="AC121" s="2"/>
      <c r="AD121" s="2"/>
    </row>
    <row r="122" spans="1:30" x14ac:dyDescent="0.2">
      <c r="A122" s="259" t="s">
        <v>329</v>
      </c>
      <c r="B122" s="259"/>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
      <c r="Z122" s="2"/>
      <c r="AA122" s="2"/>
      <c r="AB122" s="2"/>
      <c r="AC122" s="2"/>
      <c r="AD122" s="2"/>
    </row>
    <row r="124" spans="1:30" x14ac:dyDescent="0.2">
      <c r="A124" s="59"/>
    </row>
  </sheetData>
  <mergeCells count="3">
    <mergeCell ref="A120:X120"/>
    <mergeCell ref="A121:X121"/>
    <mergeCell ref="A122:X122"/>
  </mergeCells>
  <pageMargins left="0" right="0" top="0" bottom="0" header="0" footer="0"/>
  <pageSetup paperSize="8" scale="73" orientation="portrait" r:id="rId1"/>
  <ignoredErrors>
    <ignoredError sqref="M36 M40:M41 S40 U15:U16 U25 U27 V22:V24 Z25 Z21 Y41 Z33 AA26"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3.xml><?xml version="1.0" encoding="utf-8"?>
<ct:contentTypeSchema xmlns:ct="http://schemas.microsoft.com/office/2006/metadata/contentType" xmlns:ma="http://schemas.microsoft.com/office/2006/metadata/properties/metaAttributes" ct:_="" ma:_="" ma:contentTypeName="Document" ma:contentTypeID="0x0101005FE1DCEAD7BBFB4880B9852FEC5E570F" ma:contentTypeVersion="15" ma:contentTypeDescription="Create a new document." ma:contentTypeScope="" ma:versionID="87a92ae599aa0e52d8cc0c4cf21e5345">
  <xsd:schema xmlns:xsd="http://www.w3.org/2001/XMLSchema" xmlns:xs="http://www.w3.org/2001/XMLSchema" xmlns:p="http://schemas.microsoft.com/office/2006/metadata/properties" xmlns:ns2="16d26a40-4cbc-4082-bb42-d263c9d21524" xmlns:ns3="b8641ce0-090a-4b1a-bcc9-7bafa875f298" targetNamespace="http://schemas.microsoft.com/office/2006/metadata/properties" ma:root="true" ma:fieldsID="9719949f5fe67c82a26fa06802b477a4" ns2:_="" ns3:_="">
    <xsd:import namespace="16d26a40-4cbc-4082-bb42-d263c9d21524"/>
    <xsd:import namespace="b8641ce0-090a-4b1a-bcc9-7bafa875f298"/>
    <xsd:element name="properties">
      <xsd:complexType>
        <xsd:sequence>
          <xsd:element name="documentManagement">
            <xsd:complexType>
              <xsd:all>
                <xsd:element ref="ns2:SHNClassification" minOccurs="0"/>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26a40-4cbc-4082-bb42-d263c9d21524" elementFormDefault="qualified">
    <xsd:import namespace="http://schemas.microsoft.com/office/2006/documentManagement/types"/>
    <xsd:import namespace="http://schemas.microsoft.com/office/infopath/2007/PartnerControls"/>
    <xsd:element name="SHNClassification" ma:index="8" nillable="true" ma:displayName="SHNClassification" ma:internalName="SHNClassification">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682226e-73bd-4aee-84d6-df4aa27179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641ce0-090a-4b1a-bcc9-7bafa875f29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e6ca140a-06dd-4da6-bbfa-a101b5d56c1f}" ma:internalName="TaxCatchAll" ma:showField="CatchAllData" ma:web="b8641ce0-090a-4b1a-bcc9-7bafa875f29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8641ce0-090a-4b1a-bcc9-7bafa875f298" xsi:nil="true"/>
    <SHNClassification xmlns="16d26a40-4cbc-4082-bb42-d263c9d21524">Public</SHNClassification>
    <lcf76f155ced4ddcb4097134ff3c332f xmlns="16d26a40-4cbc-4082-bb42-d263c9d215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2E297E-1112-4CA7-9590-818312797106}">
  <ds:schemaRefs>
    <ds:schemaRef ds:uri="http://schemas.microsoft.com/sharepoint/v3/contenttype/forms"/>
  </ds:schemaRefs>
</ds:datastoreItem>
</file>

<file path=customXml/itemProps2.xml><?xml version="1.0" encoding="utf-8"?>
<ds:datastoreItem xmlns:ds="http://schemas.openxmlformats.org/officeDocument/2006/customXml" ds:itemID="{169BF28A-4231-42DD-8F36-6FAB8278B093}">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C37C2B0A-27BB-43CF-91B7-47D328ED2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26a40-4cbc-4082-bb42-d263c9d21524"/>
    <ds:schemaRef ds:uri="b8641ce0-090a-4b1a-bcc9-7bafa875f2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971892-074A-492E-AF0B-3331AB950086}">
  <ds:schemaRefs>
    <ds:schemaRef ds:uri="http://schemas.microsoft.com/office/2006/metadata/properties"/>
    <ds:schemaRef ds:uri="http://schemas.microsoft.com/office/infopath/2007/PartnerControls"/>
    <ds:schemaRef ds:uri="b8641ce0-090a-4b1a-bcc9-7bafa875f298"/>
    <ds:schemaRef ds:uri="16d26a40-4cbc-4082-bb42-d263c9d2152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Fin. Highlights - FY</vt:lpstr>
      <vt:lpstr>Fin. Highlights - Interim</vt:lpstr>
      <vt:lpstr>Adj. Rev. detail - FY</vt:lpstr>
      <vt:lpstr>Adj. Rev. detail - Interim</vt:lpstr>
      <vt:lpstr>Adj. EBIT bridge - FY</vt:lpstr>
      <vt:lpstr>Adj. EBIT bridge - Interim</vt:lpstr>
      <vt:lpstr>Balance Sheet - FY</vt:lpstr>
      <vt:lpstr>Balance Sheet - Interim</vt:lpstr>
      <vt:lpstr>Cash Flow - FY</vt:lpstr>
      <vt:lpstr>Cash Flow - Interim</vt:lpstr>
      <vt:lpstr>'Adj. EBIT bridge - FY'!Print_Area</vt:lpstr>
      <vt:lpstr>'Adj. EBIT bridge - Interim'!Print_Area</vt:lpstr>
      <vt:lpstr>'Adj. Rev. detail - FY'!Print_Area</vt:lpstr>
      <vt:lpstr>'Adj. Rev. detail - Interim'!Print_Area</vt:lpstr>
      <vt:lpstr>'Balance Sheet - FY'!Print_Area</vt:lpstr>
      <vt:lpstr>'Balance Sheet - Interim'!Print_Area</vt:lpstr>
      <vt:lpstr>'Cash Flow - FY'!Print_Area</vt:lpstr>
      <vt:lpstr>'Cash Flow - Interim'!Print_Area</vt:lpstr>
      <vt:lpstr>Cover!Print_Area</vt:lpstr>
      <vt:lpstr>'Fin. Highlights - FY'!Print_Area</vt:lpstr>
      <vt:lpstr>'Fin. Highlights - Interim'!Print_Area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2017-11-03T10:39:37Z</dcterms:created>
  <dcterms:modified xsi:type="dcterms:W3CDTF">2023-11-09T09:46:31Z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08d73297-ea28-4d2c-8707-bf482f3f67bf</vt:lpwstr>
  </property>
  <property fmtid="{D5CDD505-2E9C-101B-9397-08002B2CF9AE}" pid="3" name="Classification">
    <vt:lpwstr>Public - Pirelli Data Classification</vt:lpwstr>
  </property>
  <property fmtid="{D5CDD505-2E9C-101B-9397-08002B2CF9AE}" pid="4" name="docIndexRef">
    <vt:lpwstr>8072b25b-b9f7-4917-b7df-599c0a07ccb6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+nh/eFpDysZnVmvkKPD3m60Re0OuvaNL</vt:lpwstr>
  </property>
  <property fmtid="{D5CDD505-2E9C-101B-9397-08002B2CF9AE}" pid="9" name="_AdHocReviewCycleID">
    <vt:i4>1812732055</vt:i4>
  </property>
  <property fmtid="{D5CDD505-2E9C-101B-9397-08002B2CF9AE}" pid="10" name="_NewReviewCycle">
    <vt:lpwstr/>
  </property>
  <property fmtid="{D5CDD505-2E9C-101B-9397-08002B2CF9AE}" pid="11" name="SV_QUERY_LIST_4F35BF76-6C0D-4D9B-82B2-816C12CF3733">
    <vt:lpwstr>empty_477D106A-C0D6-4607-AEBD-E2C9D60EA279</vt:lpwstr>
  </property>
  <property fmtid="{D5CDD505-2E9C-101B-9397-08002B2CF9AE}" pid="12" name="_PreviousAdHocReviewCycleID">
    <vt:i4>1817523570</vt:i4>
  </property>
  <property fmtid="{D5CDD505-2E9C-101B-9397-08002B2CF9AE}" pid="13" name="SV_HIDDEN_GRID_QUERY_LIST_4F35BF76-6C0D-4D9B-82B2-816C12CF3733">
    <vt:lpwstr>empty_477D106A-C0D6-4607-AEBD-E2C9D60EA279</vt:lpwstr>
  </property>
  <property fmtid="{D5CDD505-2E9C-101B-9397-08002B2CF9AE}" pid="14" name="ContentTypeId">
    <vt:lpwstr>0x0101005FE1DCEAD7BBFB4880B9852FEC5E570F</vt:lpwstr>
  </property>
  <property fmtid="{D5CDD505-2E9C-101B-9397-08002B2CF9AE}" pid="15" name="MediaServiceImageTags">
    <vt:lpwstr/>
  </property>
  <property fmtid="{D5CDD505-2E9C-101B-9397-08002B2CF9AE}" pid="16" name="{A44787D4-0540-4523-9961-78E4036D8C6D}">
    <vt:lpwstr>{79C9B09F-F6C8-46DF-90B8-601E8678194E}</vt:lpwstr>
  </property>
</Properties>
</file>