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1125" documentId="13_ncr:1_{F45A220F-A4DD-4C34-9822-86E811F2BA84}" xr6:coauthVersionLast="47" xr6:coauthVersionMax="47" xr10:uidLastSave="{540DAAAB-0B24-4A2D-B704-B0CC2B4A6E31}"/>
  <bookViews>
    <workbookView xWindow="14895" yWindow="-16320" windowWidth="29040" windowHeight="15720" tabRatio="938" xr2:uid="{00000000-000D-0000-FFFF-FFFF00000000}"/>
  </bookViews>
  <sheets>
    <sheet name="Cover" sheetId="7" r:id="rId1"/>
    <sheet name="Fin. Highlights - FY" sheetId="6" r:id="rId2"/>
    <sheet name="Fin. Highlights - Interim" sheetId="12" r:id="rId3"/>
    <sheet name="Adj. Rev. detail - FY" sheetId="9" r:id="rId4"/>
    <sheet name="Adj. Rev. detail - Interim" sheetId="13" r:id="rId5"/>
    <sheet name="Adj. EBIT bridge - FY" sheetId="10" r:id="rId6"/>
    <sheet name="Adj. EBIT bridge - Interim" sheetId="15" r:id="rId7"/>
    <sheet name="Balance Sheet - FY" sheetId="1" r:id="rId8"/>
    <sheet name="Balance Sheet - Interim" sheetId="16" r:id="rId9"/>
    <sheet name="Cash Flow - FY" sheetId="11" r:id="rId10"/>
    <sheet name="Cash Flow - Interim" sheetId="17" r:id="rId11"/>
  </sheets>
  <externalReferences>
    <externalReference r:id="rId12"/>
    <externalReference r:id="rId13"/>
    <externalReference r:id="rId14"/>
  </externalReferences>
  <definedNames>
    <definedName name="CIQWBGuid" hidden="1">"c5546008-19d1-4a42-bf22-4315ada62b00"</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45301.3408564815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5">'Adj. EBIT bridge - FY'!$A$1:$H$27</definedName>
    <definedName name="_xlnm.Print_Area" localSheetId="6">'Adj. EBIT bridge - Interim'!$A$1:$AM$27</definedName>
    <definedName name="_xlnm.Print_Area" localSheetId="3">'Adj. Rev. detail - FY'!$A$1:$H$18</definedName>
    <definedName name="_xlnm.Print_Area" localSheetId="4">'Adj. Rev. detail - Interim'!$A$1:$AM$18</definedName>
    <definedName name="_xlnm.Print_Area" localSheetId="7">'Balance Sheet - FY'!$A$1:$H$122</definedName>
    <definedName name="_xlnm.Print_Area" localSheetId="8">'Balance Sheet - Interim'!$A$1:$W$122</definedName>
    <definedName name="_xlnm.Print_Area" localSheetId="9">'Cash Flow - FY'!$A$1:$H$101</definedName>
    <definedName name="_xlnm.Print_Area" localSheetId="10">'Cash Flow - Interim'!$A$1:$X$111</definedName>
    <definedName name="_xlnm.Print_Area" localSheetId="0">Cover!$A$1:$L$46</definedName>
    <definedName name="_xlnm.Print_Area" localSheetId="1">'Fin. Highlights - FY'!$A$1:$H$61</definedName>
    <definedName name="_xlnm.Print_Area" localSheetId="2">'Fin. Highlights - Interim'!$A$1:$AL$50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28" i="17" l="1"/>
  <c r="AL38" i="17"/>
  <c r="AL37" i="17"/>
  <c r="AH38" i="17"/>
  <c r="AH37" i="17"/>
  <c r="AD38" i="17"/>
  <c r="AD37" i="17"/>
  <c r="AL48" i="16" l="1"/>
  <c r="AL47" i="16"/>
  <c r="AL105" i="17" l="1"/>
  <c r="AL98" i="17"/>
  <c r="AL97" i="17"/>
  <c r="AL96" i="17"/>
  <c r="AL95" i="17"/>
  <c r="AL94" i="17"/>
  <c r="AL93" i="17"/>
  <c r="AL91" i="17"/>
  <c r="AL90" i="17"/>
  <c r="AL89" i="17"/>
  <c r="AL86" i="17"/>
  <c r="AL85" i="17"/>
  <c r="AL84" i="17"/>
  <c r="AL83" i="17"/>
  <c r="AL82" i="17"/>
  <c r="AL81" i="17"/>
  <c r="AL80" i="17"/>
  <c r="AL79" i="17"/>
  <c r="AL78" i="17"/>
  <c r="AL76" i="17"/>
  <c r="AL75" i="17"/>
  <c r="AL74" i="17"/>
  <c r="AL73" i="17"/>
  <c r="AL71" i="17"/>
  <c r="AL70" i="17"/>
  <c r="AL67" i="17"/>
  <c r="AL66" i="17"/>
  <c r="AL64" i="17"/>
  <c r="AL63" i="17"/>
  <c r="AL61" i="17"/>
  <c r="AL60" i="17"/>
  <c r="AL59" i="17"/>
  <c r="AL58" i="17"/>
  <c r="AL57" i="17"/>
  <c r="AL55" i="17"/>
  <c r="AL54" i="17"/>
  <c r="AL53" i="17"/>
  <c r="AL52" i="17"/>
  <c r="AL51" i="17"/>
  <c r="AL50" i="17"/>
  <c r="AL49" i="17"/>
  <c r="AL33" i="17"/>
  <c r="AL35" i="17"/>
  <c r="AL32" i="17"/>
  <c r="AL9" i="17"/>
  <c r="AL14" i="17"/>
  <c r="AL13" i="17"/>
  <c r="E90" i="11"/>
  <c r="F90" i="11"/>
  <c r="G90" i="11"/>
  <c r="H90" i="11"/>
  <c r="I90" i="11"/>
  <c r="J90" i="11"/>
  <c r="C90" i="11"/>
  <c r="D90" i="11"/>
  <c r="K90" i="11"/>
  <c r="J64" i="11"/>
  <c r="J79" i="11" s="1"/>
  <c r="K64" i="11"/>
  <c r="K69" i="11"/>
  <c r="AL77" i="17" s="1"/>
  <c r="AL113" i="16"/>
  <c r="AL112" i="16"/>
  <c r="AL110" i="16"/>
  <c r="AL109" i="16"/>
  <c r="AL108" i="16"/>
  <c r="AL105" i="16"/>
  <c r="AL101" i="16"/>
  <c r="AL100" i="16"/>
  <c r="AL99" i="16"/>
  <c r="AL98" i="16"/>
  <c r="AL97" i="16"/>
  <c r="AL96" i="16"/>
  <c r="AL95" i="16"/>
  <c r="AL94" i="16"/>
  <c r="AL91" i="16"/>
  <c r="AL90" i="16"/>
  <c r="AL89" i="16"/>
  <c r="AL88" i="16"/>
  <c r="AL87" i="16"/>
  <c r="AL86" i="16"/>
  <c r="AL85" i="16"/>
  <c r="AL84" i="16"/>
  <c r="AL77" i="16"/>
  <c r="AL72" i="16"/>
  <c r="AL71" i="16"/>
  <c r="AL69" i="16"/>
  <c r="AL70" i="16"/>
  <c r="AL65" i="16"/>
  <c r="AL64" i="16"/>
  <c r="AL62" i="16"/>
  <c r="AL59" i="16"/>
  <c r="AL60" i="16"/>
  <c r="AL58" i="16"/>
  <c r="AL51" i="16"/>
  <c r="AL52" i="16"/>
  <c r="AL53" i="16"/>
  <c r="AL54" i="16"/>
  <c r="AL50" i="16"/>
  <c r="AL49" i="16"/>
  <c r="AL17" i="16"/>
  <c r="K79" i="11" l="1"/>
  <c r="K102" i="1"/>
  <c r="AL102" i="16" s="1"/>
  <c r="AL103" i="16" s="1"/>
  <c r="AL104" i="16" s="1"/>
  <c r="K73" i="1"/>
  <c r="K66" i="1"/>
  <c r="AL66" i="16" s="1"/>
  <c r="K55" i="1"/>
  <c r="K8" i="11"/>
  <c r="AL8" i="17" s="1"/>
  <c r="AL99" i="17"/>
  <c r="AL72" i="17"/>
  <c r="AL87" i="17" s="1"/>
  <c r="AL65" i="17"/>
  <c r="AL62" i="17"/>
  <c r="AL25" i="17"/>
  <c r="AL114" i="16"/>
  <c r="AL111" i="16"/>
  <c r="AL92" i="16"/>
  <c r="AL93" i="16" s="1"/>
  <c r="AL61" i="16"/>
  <c r="AL39" i="16"/>
  <c r="AL33" i="16"/>
  <c r="AL35" i="16" s="1"/>
  <c r="AL29" i="16"/>
  <c r="AL24" i="16"/>
  <c r="AL23" i="16"/>
  <c r="AL22" i="16"/>
  <c r="AL20" i="16"/>
  <c r="AL19" i="16"/>
  <c r="AL18" i="16"/>
  <c r="K56" i="1" l="1"/>
  <c r="AL56" i="16" s="1"/>
  <c r="AL55" i="16"/>
  <c r="K74" i="1"/>
  <c r="AL74" i="16" s="1"/>
  <c r="AL73" i="16"/>
  <c r="AL115" i="16"/>
  <c r="AL32" i="16" s="1"/>
  <c r="K38" i="1"/>
  <c r="K67" i="1"/>
  <c r="AL67" i="16" s="1"/>
  <c r="AL68" i="16" s="1"/>
  <c r="AL25" i="16"/>
  <c r="AL106" i="16"/>
  <c r="AL117" i="16" s="1"/>
  <c r="AL21" i="16"/>
  <c r="AL15" i="16" s="1"/>
  <c r="AL16" i="16"/>
  <c r="AL38" i="16" l="1"/>
  <c r="AL40" i="16" s="1"/>
  <c r="AL36" i="16" s="1"/>
  <c r="AL26" i="16"/>
  <c r="AL27" i="16" s="1"/>
  <c r="AL28" i="16" s="1"/>
  <c r="AL30" i="16" s="1"/>
  <c r="AL75" i="16"/>
  <c r="AL76" i="16" s="1"/>
  <c r="AL57" i="16"/>
  <c r="AL63" i="16" s="1"/>
  <c r="AL41" i="16" l="1"/>
  <c r="AL9" i="16"/>
  <c r="AL8" i="16"/>
  <c r="AL7" i="16"/>
  <c r="AL78" i="16"/>
  <c r="K57" i="11"/>
  <c r="K54" i="11"/>
  <c r="K38" i="11"/>
  <c r="AL46" i="17" s="1"/>
  <c r="K26" i="11"/>
  <c r="AL34" i="17" s="1"/>
  <c r="K12" i="11"/>
  <c r="AL12" i="17" s="1"/>
  <c r="K114" i="1"/>
  <c r="K111" i="1"/>
  <c r="K103" i="1"/>
  <c r="K104" i="1" s="1"/>
  <c r="K92" i="1"/>
  <c r="K93" i="1" s="1"/>
  <c r="K75" i="1"/>
  <c r="K68" i="1"/>
  <c r="K61" i="1"/>
  <c r="K57" i="1"/>
  <c r="K40" i="1"/>
  <c r="K33" i="1"/>
  <c r="K35" i="1" s="1"/>
  <c r="K29" i="1"/>
  <c r="K24" i="1"/>
  <c r="K23" i="1"/>
  <c r="K22" i="1"/>
  <c r="K20" i="1"/>
  <c r="K19" i="1"/>
  <c r="K18" i="1"/>
  <c r="K25" i="1" l="1"/>
  <c r="K27" i="1" s="1"/>
  <c r="K76" i="1"/>
  <c r="K8" i="1" s="1"/>
  <c r="K63" i="1"/>
  <c r="K115" i="1"/>
  <c r="K32" i="1" s="1"/>
  <c r="K41" i="1" s="1"/>
  <c r="K106" i="1"/>
  <c r="K21" i="1"/>
  <c r="K9" i="1"/>
  <c r="K36" i="1"/>
  <c r="K16" i="1"/>
  <c r="K7" i="1" l="1"/>
  <c r="K78" i="1"/>
  <c r="K117" i="1"/>
  <c r="K28" i="1"/>
  <c r="K30" i="1" s="1"/>
  <c r="K15" i="1"/>
  <c r="E104" i="17" l="1"/>
  <c r="C99" i="17"/>
  <c r="D99" i="17"/>
  <c r="E99" i="17"/>
  <c r="G99" i="17"/>
  <c r="H99" i="17"/>
  <c r="I99" i="17"/>
  <c r="K99" i="17"/>
  <c r="L99" i="17"/>
  <c r="M99" i="17"/>
  <c r="O99" i="17"/>
  <c r="P99" i="17"/>
  <c r="Q99" i="17"/>
  <c r="S99" i="17"/>
  <c r="T99" i="17"/>
  <c r="U99" i="17"/>
  <c r="W99" i="17"/>
  <c r="X99" i="17"/>
  <c r="Y99" i="17"/>
  <c r="AA99" i="17"/>
  <c r="AB99" i="17"/>
  <c r="AC99" i="17"/>
  <c r="AE99" i="17"/>
  <c r="AF99" i="17"/>
  <c r="AG99" i="17"/>
  <c r="AI99" i="17"/>
  <c r="AJ99" i="17"/>
  <c r="AK99" i="17"/>
  <c r="H15" i="15"/>
  <c r="F15" i="15"/>
  <c r="D15" i="15"/>
  <c r="C25" i="10"/>
  <c r="J26" i="6" l="1"/>
  <c r="J32" i="6" s="1"/>
  <c r="I26" i="6"/>
  <c r="I32" i="6" s="1"/>
  <c r="G26" i="6"/>
  <c r="G32" i="6" s="1"/>
  <c r="F26" i="6"/>
  <c r="F32" i="6" s="1"/>
  <c r="C18" i="6"/>
  <c r="D18" i="6"/>
  <c r="E18" i="6"/>
  <c r="F18" i="6"/>
  <c r="G18" i="6"/>
  <c r="H18" i="6"/>
  <c r="I18" i="6"/>
  <c r="J18" i="6"/>
  <c r="K17" i="10"/>
  <c r="BM17" i="15" s="1"/>
  <c r="BL17" i="15" s="1"/>
  <c r="K23" i="10"/>
  <c r="BM23" i="15" s="1"/>
  <c r="BL23" i="15" s="1"/>
  <c r="K21" i="10"/>
  <c r="BM21" i="15" s="1"/>
  <c r="BL21" i="15" s="1"/>
  <c r="K19" i="10"/>
  <c r="BM19" i="15" s="1"/>
  <c r="BL19" i="15" s="1"/>
  <c r="K13" i="10"/>
  <c r="BM13" i="15" s="1"/>
  <c r="BL13" i="15" s="1"/>
  <c r="K11" i="10"/>
  <c r="BM11" i="15" s="1"/>
  <c r="BL11" i="15" s="1"/>
  <c r="K9" i="10"/>
  <c r="BM9" i="15" s="1"/>
  <c r="BL9" i="15" s="1"/>
  <c r="K7" i="10"/>
  <c r="I31" i="6" l="1"/>
  <c r="J31" i="6"/>
  <c r="G31" i="6"/>
  <c r="F31" i="6"/>
  <c r="K25" i="10"/>
  <c r="BL13" i="13"/>
  <c r="BL11" i="13"/>
  <c r="BL9" i="13"/>
  <c r="BL7" i="13"/>
  <c r="K13" i="9"/>
  <c r="BM13" i="13" s="1"/>
  <c r="K11" i="9"/>
  <c r="BM11" i="13" s="1"/>
  <c r="K9" i="9"/>
  <c r="BM9" i="13" s="1"/>
  <c r="K7" i="9"/>
  <c r="BM7" i="13" s="1"/>
  <c r="BL15" i="13" l="1"/>
  <c r="K15" i="9"/>
  <c r="BM15" i="13" s="1"/>
  <c r="BL33" i="12"/>
  <c r="BL19" i="12"/>
  <c r="BL16" i="12"/>
  <c r="BM40" i="12"/>
  <c r="BL40" i="12" s="1"/>
  <c r="BM39" i="12"/>
  <c r="BL39" i="12" s="1"/>
  <c r="BM38" i="12"/>
  <c r="BL38" i="12" s="1"/>
  <c r="K8" i="6"/>
  <c r="K54" i="6" s="1"/>
  <c r="BM8" i="12" l="1"/>
  <c r="BL8" i="12" s="1"/>
  <c r="K48" i="6"/>
  <c r="K44" i="6"/>
  <c r="K30" i="6"/>
  <c r="K39" i="11" s="1"/>
  <c r="AL47" i="17" s="1"/>
  <c r="K29" i="6"/>
  <c r="BM29" i="12" s="1"/>
  <c r="BL29" i="12" s="1"/>
  <c r="K28" i="6"/>
  <c r="BM28" i="12" s="1"/>
  <c r="BL28" i="12" s="1"/>
  <c r="K24" i="6"/>
  <c r="BM24" i="12" s="1"/>
  <c r="BL24" i="12" s="1"/>
  <c r="K23" i="6"/>
  <c r="BM23" i="12" s="1"/>
  <c r="BL23" i="12" s="1"/>
  <c r="K21" i="6"/>
  <c r="K11" i="6"/>
  <c r="K7" i="11" s="1"/>
  <c r="K7" i="6"/>
  <c r="K11" i="11" l="1"/>
  <c r="AL7" i="17"/>
  <c r="BM30" i="12"/>
  <c r="K26" i="6"/>
  <c r="K32" i="6" s="1"/>
  <c r="BM7" i="12"/>
  <c r="K18" i="6"/>
  <c r="K49" i="6"/>
  <c r="K22" i="6"/>
  <c r="BM21" i="12"/>
  <c r="K37" i="6"/>
  <c r="BM37" i="12" s="1"/>
  <c r="K45" i="6"/>
  <c r="K46" i="6" s="1"/>
  <c r="BM11" i="12"/>
  <c r="K9" i="6"/>
  <c r="K53" i="6"/>
  <c r="K12" i="6"/>
  <c r="K14" i="6"/>
  <c r="AL42" i="17"/>
  <c r="K34" i="11"/>
  <c r="AL82" i="16"/>
  <c r="AL81" i="16"/>
  <c r="AL45" i="16"/>
  <c r="AL44" i="16"/>
  <c r="AL13" i="16"/>
  <c r="AL12" i="16"/>
  <c r="K82" i="1"/>
  <c r="K81" i="1"/>
  <c r="K45" i="1"/>
  <c r="K44" i="1"/>
  <c r="K13" i="1"/>
  <c r="K12" i="1"/>
  <c r="AK77" i="17"/>
  <c r="AK71" i="17"/>
  <c r="K15" i="11" l="1"/>
  <c r="K18" i="11" s="1"/>
  <c r="K22" i="11" s="1"/>
  <c r="K41" i="6"/>
  <c r="K42" i="6" s="1"/>
  <c r="BL30" i="12"/>
  <c r="BL7" i="12"/>
  <c r="BL9" i="12" s="1"/>
  <c r="BM18" i="12"/>
  <c r="BM9" i="12"/>
  <c r="K31" i="6"/>
  <c r="BM26" i="12"/>
  <c r="BL21" i="12"/>
  <c r="BM22" i="12"/>
  <c r="BM14" i="12"/>
  <c r="BL11" i="12"/>
  <c r="AL11" i="17" s="1"/>
  <c r="AL15" i="17" s="1"/>
  <c r="AL18" i="17" s="1"/>
  <c r="BM12" i="12"/>
  <c r="K34" i="6"/>
  <c r="AL45" i="17" s="1"/>
  <c r="AK47" i="17"/>
  <c r="AK46" i="17"/>
  <c r="AK7" i="17"/>
  <c r="AK66" i="16"/>
  <c r="BM31" i="12" l="1"/>
  <c r="AL27" i="17"/>
  <c r="K35" i="6"/>
  <c r="BM35" i="12" s="1"/>
  <c r="BL35" i="12" s="1"/>
  <c r="K37" i="11"/>
  <c r="K40" i="11" s="1"/>
  <c r="K48" i="11" s="1"/>
  <c r="BL18" i="12"/>
  <c r="BL12" i="12"/>
  <c r="BL22" i="12"/>
  <c r="BL14" i="12"/>
  <c r="BM32" i="12"/>
  <c r="AK102" i="16"/>
  <c r="AK73" i="16"/>
  <c r="AK74" i="16" s="1"/>
  <c r="AK67" i="16"/>
  <c r="AK55" i="16"/>
  <c r="AK38" i="16" l="1"/>
  <c r="K60" i="11"/>
  <c r="K93" i="11" s="1"/>
  <c r="BM41" i="12"/>
  <c r="BM42" i="12" s="1"/>
  <c r="BM34" i="12"/>
  <c r="AK56" i="16"/>
  <c r="AK33" i="16"/>
  <c r="AK35" i="16" s="1"/>
  <c r="AK72" i="17" l="1"/>
  <c r="AK87" i="17" s="1"/>
  <c r="AK65" i="17"/>
  <c r="AK62" i="17"/>
  <c r="AK42" i="17"/>
  <c r="AK25" i="17"/>
  <c r="AK12" i="17"/>
  <c r="AK111" i="16"/>
  <c r="AK114" i="16"/>
  <c r="AK103" i="16"/>
  <c r="AK104" i="16" s="1"/>
  <c r="AK92" i="16"/>
  <c r="AK93" i="16" s="1"/>
  <c r="AK82" i="16"/>
  <c r="AK81" i="16"/>
  <c r="AK75" i="16"/>
  <c r="AK68" i="16"/>
  <c r="AK61" i="16"/>
  <c r="AK45" i="16"/>
  <c r="AK44" i="16"/>
  <c r="AK39" i="16"/>
  <c r="AK40" i="16" s="1"/>
  <c r="AK29" i="16"/>
  <c r="AK24" i="16"/>
  <c r="AK23" i="16"/>
  <c r="AK22" i="16"/>
  <c r="AK20" i="16"/>
  <c r="AK19" i="16"/>
  <c r="AK18" i="16"/>
  <c r="AK16" i="16" s="1"/>
  <c r="AK13" i="16"/>
  <c r="AK12" i="16"/>
  <c r="BJ23" i="15"/>
  <c r="BJ21" i="15"/>
  <c r="BJ19" i="15"/>
  <c r="BJ17" i="15"/>
  <c r="BJ13" i="15"/>
  <c r="BJ11" i="15"/>
  <c r="BJ9" i="15"/>
  <c r="BK7" i="15"/>
  <c r="BK25" i="15" s="1"/>
  <c r="BK15" i="13"/>
  <c r="BJ15" i="13"/>
  <c r="BK26" i="12"/>
  <c r="BL26" i="12" s="1"/>
  <c r="BL31" i="12" s="1"/>
  <c r="BK22" i="12"/>
  <c r="BK18" i="12"/>
  <c r="BK14" i="12"/>
  <c r="BK12" i="12"/>
  <c r="BK9" i="12"/>
  <c r="BJ7" i="12"/>
  <c r="BK32" i="12" l="1"/>
  <c r="BL32" i="12" s="1"/>
  <c r="BK31" i="12"/>
  <c r="AK26" i="16"/>
  <c r="AK76" i="16"/>
  <c r="AK8" i="16" s="1"/>
  <c r="AK115" i="16"/>
  <c r="AK32" i="16" s="1"/>
  <c r="AK41" i="16" s="1"/>
  <c r="AK106" i="16"/>
  <c r="AK25" i="16"/>
  <c r="AK21" i="16"/>
  <c r="AK36" i="16"/>
  <c r="AK9" i="16"/>
  <c r="AK57" i="16"/>
  <c r="AK63" i="16" s="1"/>
  <c r="BK34" i="12"/>
  <c r="AK45" i="17" s="1"/>
  <c r="BK41" i="12"/>
  <c r="BK42" i="12" s="1"/>
  <c r="BL41" i="12" l="1"/>
  <c r="BL42" i="12" s="1"/>
  <c r="BL34" i="12"/>
  <c r="AL48" i="17" s="1"/>
  <c r="AL56" i="17" s="1"/>
  <c r="AL68" i="17" s="1"/>
  <c r="AL102" i="17" s="1"/>
  <c r="AK7" i="16"/>
  <c r="AK78" i="16"/>
  <c r="AK27" i="16"/>
  <c r="AK28" i="16" s="1"/>
  <c r="AK30" i="16" s="1"/>
  <c r="AK117" i="16"/>
  <c r="AK15" i="16"/>
  <c r="BJ40" i="12" l="1"/>
  <c r="BJ38" i="12"/>
  <c r="BJ35" i="12"/>
  <c r="BJ33" i="12"/>
  <c r="BJ30" i="12"/>
  <c r="BJ29" i="12"/>
  <c r="BJ28" i="12"/>
  <c r="BJ24" i="12"/>
  <c r="BJ23" i="12"/>
  <c r="BJ21" i="12"/>
  <c r="BJ19" i="12"/>
  <c r="BJ16" i="12"/>
  <c r="BJ18" i="12" s="1"/>
  <c r="BJ11" i="12"/>
  <c r="BJ8" i="12"/>
  <c r="BJ9" i="12" s="1"/>
  <c r="BJ12" i="12" l="1"/>
  <c r="AK11" i="17"/>
  <c r="AK15" i="17" s="1"/>
  <c r="BJ26" i="12"/>
  <c r="BJ32" i="12" s="1"/>
  <c r="BJ22" i="12"/>
  <c r="BJ14" i="12"/>
  <c r="BJ31" i="12" l="1"/>
  <c r="AK27" i="17"/>
  <c r="AK18" i="17"/>
  <c r="BJ41" i="12"/>
  <c r="BJ42" i="12" s="1"/>
  <c r="BJ34" i="12"/>
  <c r="AK48" i="17" s="1"/>
  <c r="AK56" i="17" s="1"/>
  <c r="AK68" i="17" l="1"/>
  <c r="AK102" i="17" s="1"/>
  <c r="AJ77" i="17"/>
  <c r="AJ71" i="17"/>
  <c r="AJ102" i="16" l="1"/>
  <c r="AJ74" i="16"/>
  <c r="AJ66" i="16"/>
  <c r="AJ67" i="16" s="1"/>
  <c r="AJ55" i="16"/>
  <c r="AJ56" i="16" s="1"/>
  <c r="AJ47" i="17" l="1"/>
  <c r="AJ46" i="17"/>
  <c r="AJ7" i="17"/>
  <c r="AJ72" i="17" l="1"/>
  <c r="AJ87" i="17" s="1"/>
  <c r="AJ65" i="17"/>
  <c r="AJ62" i="17"/>
  <c r="AJ42" i="17"/>
  <c r="AJ25" i="17"/>
  <c r="AJ12" i="17"/>
  <c r="AJ11" i="17" l="1"/>
  <c r="AJ15" i="17" s="1"/>
  <c r="AJ27" i="17" s="1"/>
  <c r="AJ18" i="17" l="1"/>
  <c r="AJ114" i="16"/>
  <c r="AJ111" i="16"/>
  <c r="AJ103" i="16"/>
  <c r="AJ104" i="16" s="1"/>
  <c r="AJ92" i="16"/>
  <c r="AJ93" i="16" s="1"/>
  <c r="AJ82" i="16"/>
  <c r="AJ81" i="16"/>
  <c r="AJ75" i="16"/>
  <c r="AJ68" i="16"/>
  <c r="AJ61" i="16"/>
  <c r="AJ45" i="16"/>
  <c r="AJ44" i="16"/>
  <c r="AJ39" i="16"/>
  <c r="AJ33" i="16"/>
  <c r="AJ35" i="16" s="1"/>
  <c r="AJ29" i="16"/>
  <c r="AJ24" i="16"/>
  <c r="AJ23" i="16"/>
  <c r="AJ22" i="16"/>
  <c r="AJ20" i="16"/>
  <c r="AJ19" i="16"/>
  <c r="AJ18" i="16"/>
  <c r="AJ16" i="16" s="1"/>
  <c r="AJ13" i="16"/>
  <c r="AJ12" i="16"/>
  <c r="BH23" i="15"/>
  <c r="BH21" i="15"/>
  <c r="BH19" i="15"/>
  <c r="BH17" i="15"/>
  <c r="BH13" i="15"/>
  <c r="BH11" i="15"/>
  <c r="BH9" i="15"/>
  <c r="BI7" i="15"/>
  <c r="BI25" i="15" s="1"/>
  <c r="BI15" i="13"/>
  <c r="BH15" i="13"/>
  <c r="BH40" i="12"/>
  <c r="BH38" i="12"/>
  <c r="BI37" i="12"/>
  <c r="BH35" i="12"/>
  <c r="BH33" i="12"/>
  <c r="BH30" i="12"/>
  <c r="BH29" i="12"/>
  <c r="BH28" i="12"/>
  <c r="BI26" i="12"/>
  <c r="BH24" i="12"/>
  <c r="BH23" i="12"/>
  <c r="BI22" i="12"/>
  <c r="BH21" i="12"/>
  <c r="BH19" i="12"/>
  <c r="BI18" i="12"/>
  <c r="BH16" i="12"/>
  <c r="BI14" i="12"/>
  <c r="BI12" i="12"/>
  <c r="BH11" i="12"/>
  <c r="BI9" i="12"/>
  <c r="BH8" i="12"/>
  <c r="BH7" i="12"/>
  <c r="AI72" i="17"/>
  <c r="AI71" i="17"/>
  <c r="AI87" i="17" s="1"/>
  <c r="AI28" i="17"/>
  <c r="AI26" i="16"/>
  <c r="AI47" i="17"/>
  <c r="AI46" i="17"/>
  <c r="BI32" i="12" l="1"/>
  <c r="BI31" i="12"/>
  <c r="BH37" i="12"/>
  <c r="AJ76" i="16"/>
  <c r="AJ7" i="16" s="1"/>
  <c r="BH26" i="12"/>
  <c r="BH31" i="12" s="1"/>
  <c r="AJ115" i="16"/>
  <c r="AJ32" i="16" s="1"/>
  <c r="AJ106" i="16"/>
  <c r="AJ25" i="16"/>
  <c r="AJ21" i="16"/>
  <c r="AJ15" i="16" s="1"/>
  <c r="BH9" i="12"/>
  <c r="BH12" i="12"/>
  <c r="BH18" i="12"/>
  <c r="AJ26" i="16"/>
  <c r="AJ38" i="16"/>
  <c r="AJ40" i="16" s="1"/>
  <c r="BI34" i="12"/>
  <c r="AJ45" i="17" s="1"/>
  <c r="BI41" i="12"/>
  <c r="BI42" i="12" s="1"/>
  <c r="BH14" i="12"/>
  <c r="BH22" i="12"/>
  <c r="AI7" i="17"/>
  <c r="AI65" i="17"/>
  <c r="AI62" i="17"/>
  <c r="AI42" i="17"/>
  <c r="AI25" i="17"/>
  <c r="AI114" i="16"/>
  <c r="AI111" i="16"/>
  <c r="AI104" i="16"/>
  <c r="AI92" i="16"/>
  <c r="AI93" i="16" s="1"/>
  <c r="AI82" i="16"/>
  <c r="AI81" i="16"/>
  <c r="AI63" i="16"/>
  <c r="AI45" i="16"/>
  <c r="AI44" i="16"/>
  <c r="AI39" i="16"/>
  <c r="AI38" i="16"/>
  <c r="AI33" i="16"/>
  <c r="AI35" i="16" s="1"/>
  <c r="AI29" i="16"/>
  <c r="AI24" i="16"/>
  <c r="AI23" i="16"/>
  <c r="AI22" i="16"/>
  <c r="AI20" i="16"/>
  <c r="AI19" i="16"/>
  <c r="AI18" i="16"/>
  <c r="AI16" i="16" s="1"/>
  <c r="AI13" i="16"/>
  <c r="AI12" i="16"/>
  <c r="AI40" i="16" l="1"/>
  <c r="AJ117" i="16"/>
  <c r="BH32" i="12"/>
  <c r="BH34" i="12" s="1"/>
  <c r="AJ8" i="16"/>
  <c r="AJ27" i="16"/>
  <c r="AJ28" i="16" s="1"/>
  <c r="AJ30" i="16" s="1"/>
  <c r="AJ57" i="16"/>
  <c r="AJ63" i="16" s="1"/>
  <c r="AJ78" i="16" s="1"/>
  <c r="AJ36" i="16"/>
  <c r="AJ9" i="16"/>
  <c r="AJ41" i="16"/>
  <c r="AI106" i="16"/>
  <c r="AI115" i="16"/>
  <c r="AI32" i="16" s="1"/>
  <c r="AI41" i="16" s="1"/>
  <c r="AI21" i="16"/>
  <c r="AI15" i="16" s="1"/>
  <c r="AI25" i="16"/>
  <c r="AI9" i="16"/>
  <c r="AI36" i="16"/>
  <c r="AI76" i="16"/>
  <c r="BG7" i="15"/>
  <c r="BG25" i="15" s="1"/>
  <c r="BG15" i="13"/>
  <c r="BH41" i="12" l="1"/>
  <c r="BH42" i="12" s="1"/>
  <c r="AI117" i="16"/>
  <c r="AI27" i="16"/>
  <c r="AI28" i="16" s="1"/>
  <c r="AI30" i="16" s="1"/>
  <c r="AI7" i="16"/>
  <c r="AI8" i="16"/>
  <c r="AI78" i="16"/>
  <c r="BG37" i="12" l="1"/>
  <c r="BG26" i="12"/>
  <c r="BG22" i="12"/>
  <c r="BG18" i="12"/>
  <c r="BG14" i="12"/>
  <c r="BG12" i="12"/>
  <c r="BG9" i="12"/>
  <c r="AH28" i="17"/>
  <c r="AH16" i="17" s="1"/>
  <c r="AG16" i="17"/>
  <c r="AF16" i="17"/>
  <c r="AE16" i="17"/>
  <c r="BG32" i="12" l="1"/>
  <c r="BG41" i="12" s="1"/>
  <c r="BG42" i="12" s="1"/>
  <c r="BG31" i="12"/>
  <c r="BG34" i="12"/>
  <c r="AI45" i="17" s="1"/>
  <c r="AI48" i="17" s="1"/>
  <c r="AD14" i="17"/>
  <c r="AD13" i="17"/>
  <c r="J26" i="11"/>
  <c r="I26" i="11"/>
  <c r="H26" i="11"/>
  <c r="G26" i="11"/>
  <c r="F26" i="11"/>
  <c r="E26" i="11"/>
  <c r="D26" i="11"/>
  <c r="AH82" i="16"/>
  <c r="AG82" i="16"/>
  <c r="AD82" i="16"/>
  <c r="AC82" i="16"/>
  <c r="AC75" i="16"/>
  <c r="AH39" i="16"/>
  <c r="AD39" i="16"/>
  <c r="J103" i="1"/>
  <c r="I103" i="1"/>
  <c r="J75" i="1"/>
  <c r="I75" i="1"/>
  <c r="J68" i="1"/>
  <c r="I68" i="1"/>
  <c r="J57" i="1"/>
  <c r="I57" i="1"/>
  <c r="H57" i="1"/>
  <c r="J7" i="10"/>
  <c r="J25" i="10" s="1"/>
  <c r="BF13" i="13"/>
  <c r="BF11" i="13"/>
  <c r="BF9" i="13"/>
  <c r="BF7" i="13"/>
  <c r="BF29" i="12"/>
  <c r="AI56" i="17" l="1"/>
  <c r="AI68" i="17" s="1"/>
  <c r="AI102" i="17" s="1"/>
  <c r="J38" i="1"/>
  <c r="Z105" i="17" l="1"/>
  <c r="AH90" i="17" l="1"/>
  <c r="AH91" i="17"/>
  <c r="AH93" i="17"/>
  <c r="AH94" i="17"/>
  <c r="AH95" i="17"/>
  <c r="AH96" i="17"/>
  <c r="AH97" i="17"/>
  <c r="AH98" i="17"/>
  <c r="AH89" i="17"/>
  <c r="AH71" i="17"/>
  <c r="AH73" i="17"/>
  <c r="AH74" i="17"/>
  <c r="AH75" i="17"/>
  <c r="AH76" i="17"/>
  <c r="AH77" i="17"/>
  <c r="AH78" i="17"/>
  <c r="AH79" i="17"/>
  <c r="AH80" i="17"/>
  <c r="AH81" i="17"/>
  <c r="AH82" i="17"/>
  <c r="AH83" i="17"/>
  <c r="AH84" i="17"/>
  <c r="AH85" i="17"/>
  <c r="AH86" i="17"/>
  <c r="AH58" i="17"/>
  <c r="AH59" i="17"/>
  <c r="AH60" i="17"/>
  <c r="AH61" i="17"/>
  <c r="AH63" i="17"/>
  <c r="AH64" i="17"/>
  <c r="AH66" i="17"/>
  <c r="AH67" i="17"/>
  <c r="AH57" i="17"/>
  <c r="AH50" i="17"/>
  <c r="AH51" i="17"/>
  <c r="AH52" i="17"/>
  <c r="AH53" i="17"/>
  <c r="AH54" i="17"/>
  <c r="AH55" i="17"/>
  <c r="AH49" i="17"/>
  <c r="AH47" i="17"/>
  <c r="AH9" i="17"/>
  <c r="AH10" i="17"/>
  <c r="AH99" i="17" l="1"/>
  <c r="AH62" i="17"/>
  <c r="AH72" i="17"/>
  <c r="AH17" i="17"/>
  <c r="AH33" i="17"/>
  <c r="AH34" i="17"/>
  <c r="AH35" i="17"/>
  <c r="AH32" i="17"/>
  <c r="AH25" i="17"/>
  <c r="AH109" i="16"/>
  <c r="AH110" i="16"/>
  <c r="AH112" i="16"/>
  <c r="AH113" i="16"/>
  <c r="AH108" i="16"/>
  <c r="AH85" i="16"/>
  <c r="AH86" i="16"/>
  <c r="AH87" i="16"/>
  <c r="AH88" i="16"/>
  <c r="AH89" i="16"/>
  <c r="AH90" i="16"/>
  <c r="AH91" i="16"/>
  <c r="AH94" i="16"/>
  <c r="AH95" i="16"/>
  <c r="AH96" i="16"/>
  <c r="AH97" i="16"/>
  <c r="AH98" i="16"/>
  <c r="AH99" i="16"/>
  <c r="AH100" i="16"/>
  <c r="AH101" i="16"/>
  <c r="AH105" i="16"/>
  <c r="AH84" i="16"/>
  <c r="AH17" i="16"/>
  <c r="AH48" i="16"/>
  <c r="AH49" i="16"/>
  <c r="AH50" i="16"/>
  <c r="AH51" i="16"/>
  <c r="AH52" i="16"/>
  <c r="AH53" i="16"/>
  <c r="AH54" i="16"/>
  <c r="AH55" i="16"/>
  <c r="AH57" i="16"/>
  <c r="AH58" i="16"/>
  <c r="AH59" i="16"/>
  <c r="AH60" i="16"/>
  <c r="AH62" i="16"/>
  <c r="AH64" i="16"/>
  <c r="AH65" i="16"/>
  <c r="AH66" i="16"/>
  <c r="AH69" i="16"/>
  <c r="AH70" i="16"/>
  <c r="AH71" i="16"/>
  <c r="AH72" i="16"/>
  <c r="AH73" i="16"/>
  <c r="AH47" i="16"/>
  <c r="AH92" i="16" l="1"/>
  <c r="AH93" i="16" s="1"/>
  <c r="AH114" i="16"/>
  <c r="AH111" i="16"/>
  <c r="AH42" i="17"/>
  <c r="AH105" i="17"/>
  <c r="I39" i="11"/>
  <c r="J57" i="11" l="1"/>
  <c r="AH65" i="17" s="1"/>
  <c r="J54" i="11"/>
  <c r="J39" i="11"/>
  <c r="J38" i="11"/>
  <c r="J34" i="11"/>
  <c r="J12" i="11"/>
  <c r="AH12" i="17" s="1"/>
  <c r="J7" i="11"/>
  <c r="AH7" i="17" s="1"/>
  <c r="AH81" i="16"/>
  <c r="AH45" i="16"/>
  <c r="AH44" i="16"/>
  <c r="AH38" i="16"/>
  <c r="AH40" i="16" s="1"/>
  <c r="AH33" i="16"/>
  <c r="AH35" i="16" s="1"/>
  <c r="AH29" i="16"/>
  <c r="AH24" i="16"/>
  <c r="AH23" i="16"/>
  <c r="AH22" i="16"/>
  <c r="AH20" i="16"/>
  <c r="AH19" i="16"/>
  <c r="AH18" i="16"/>
  <c r="AH16" i="16" s="1"/>
  <c r="AH13" i="16"/>
  <c r="AH12" i="16"/>
  <c r="AH25" i="16" l="1"/>
  <c r="AH21" i="16"/>
  <c r="AH15" i="16" s="1"/>
  <c r="AH9" i="16"/>
  <c r="AH36" i="16"/>
  <c r="J114" i="1"/>
  <c r="J111" i="1"/>
  <c r="J104" i="1"/>
  <c r="AH104" i="16" s="1"/>
  <c r="AH102" i="16"/>
  <c r="AH103" i="16" s="1"/>
  <c r="J92" i="1"/>
  <c r="J82" i="1"/>
  <c r="J81" i="1"/>
  <c r="J76" i="1"/>
  <c r="AH76" i="16" s="1"/>
  <c r="AH74" i="16"/>
  <c r="AH75" i="16" s="1"/>
  <c r="AH67" i="16"/>
  <c r="AH68" i="16" s="1"/>
  <c r="J61" i="1"/>
  <c r="AH56" i="16"/>
  <c r="J45" i="1"/>
  <c r="J44" i="1"/>
  <c r="J40" i="1"/>
  <c r="J33" i="1"/>
  <c r="J35" i="1" s="1"/>
  <c r="J29" i="1"/>
  <c r="J24" i="1"/>
  <c r="J23" i="1"/>
  <c r="J22" i="1"/>
  <c r="J20" i="1"/>
  <c r="J19" i="1"/>
  <c r="J18" i="1"/>
  <c r="J13" i="1"/>
  <c r="J12" i="1"/>
  <c r="BE23" i="15"/>
  <c r="BE21" i="15"/>
  <c r="BE19" i="15"/>
  <c r="BE17" i="15"/>
  <c r="BE13" i="15"/>
  <c r="BE11" i="15"/>
  <c r="BE9" i="15"/>
  <c r="AK21" i="17" l="1"/>
  <c r="AK26" i="17" s="1"/>
  <c r="AK36" i="17" s="1"/>
  <c r="AK39" i="17" s="1"/>
  <c r="AL21" i="17"/>
  <c r="AL26" i="17" s="1"/>
  <c r="AL36" i="17" s="1"/>
  <c r="AL39" i="17" s="1"/>
  <c r="K21" i="11"/>
  <c r="K28" i="11" s="1"/>
  <c r="K31" i="11" s="1"/>
  <c r="AI21" i="17"/>
  <c r="AI26" i="17" s="1"/>
  <c r="AJ21" i="17"/>
  <c r="AJ26" i="17" s="1"/>
  <c r="AJ36" i="17" s="1"/>
  <c r="AJ39" i="17" s="1"/>
  <c r="AH26" i="16"/>
  <c r="AH27" i="16" s="1"/>
  <c r="AH28" i="16" s="1"/>
  <c r="AH30" i="16" s="1"/>
  <c r="AH8" i="16"/>
  <c r="J93" i="1"/>
  <c r="AH106" i="16" s="1"/>
  <c r="J63" i="1"/>
  <c r="AH63" i="16" s="1"/>
  <c r="AH78" i="16" s="1"/>
  <c r="AH61" i="16"/>
  <c r="AH7" i="16"/>
  <c r="J115" i="1"/>
  <c r="J7" i="1"/>
  <c r="J21" i="1"/>
  <c r="J15" i="1" s="1"/>
  <c r="J16" i="1"/>
  <c r="J25" i="1"/>
  <c r="J9" i="1"/>
  <c r="J48" i="6" s="1"/>
  <c r="J36" i="1"/>
  <c r="J8" i="1"/>
  <c r="J78" i="1" l="1"/>
  <c r="J106" i="1"/>
  <c r="J117" i="1" s="1"/>
  <c r="J32" i="1"/>
  <c r="J41" i="1" s="1"/>
  <c r="AH115" i="16"/>
  <c r="AH32" i="16" s="1"/>
  <c r="AH41" i="16" s="1"/>
  <c r="J27" i="1"/>
  <c r="J28" i="1" s="1"/>
  <c r="J30" i="1" s="1"/>
  <c r="AH117" i="16" l="1"/>
  <c r="BE15" i="13"/>
  <c r="BF15" i="13"/>
  <c r="J15" i="9"/>
  <c r="BF40" i="12"/>
  <c r="BE40" i="12" s="1"/>
  <c r="BE38" i="12"/>
  <c r="BE33" i="12"/>
  <c r="AH46" i="17" s="1"/>
  <c r="BE19" i="12"/>
  <c r="BE16" i="12"/>
  <c r="BF35" i="12"/>
  <c r="BE35" i="12" s="1"/>
  <c r="BF30" i="12"/>
  <c r="BE29" i="12"/>
  <c r="BF28" i="12"/>
  <c r="BE28" i="12" s="1"/>
  <c r="BF24" i="12"/>
  <c r="BF23" i="12"/>
  <c r="BE23" i="12" s="1"/>
  <c r="BF21" i="12"/>
  <c r="BF11" i="12"/>
  <c r="BE11" i="12" s="1"/>
  <c r="BF8" i="12"/>
  <c r="BE8" i="12" s="1"/>
  <c r="BF7" i="12"/>
  <c r="J54" i="6"/>
  <c r="J53" i="6"/>
  <c r="J49" i="6"/>
  <c r="J37" i="6"/>
  <c r="J41" i="6" s="1"/>
  <c r="J14" i="6"/>
  <c r="J34" i="6"/>
  <c r="J22" i="6"/>
  <c r="J12" i="6"/>
  <c r="J9" i="6"/>
  <c r="J42" i="6" l="1"/>
  <c r="BE21" i="12"/>
  <c r="BL7" i="15" s="1"/>
  <c r="BL25" i="15" s="1"/>
  <c r="BM7" i="15"/>
  <c r="BM25" i="15" s="1"/>
  <c r="BE30" i="12"/>
  <c r="J37" i="11"/>
  <c r="J40" i="11" s="1"/>
  <c r="AH45" i="17"/>
  <c r="BF9" i="12"/>
  <c r="BF37" i="12"/>
  <c r="BE24" i="12"/>
  <c r="BE37" i="12" s="1"/>
  <c r="BF18" i="12"/>
  <c r="BE7" i="12"/>
  <c r="BE9" i="12" s="1"/>
  <c r="BF14" i="12"/>
  <c r="BF22" i="12"/>
  <c r="BF26" i="12"/>
  <c r="BF31" i="12" s="1"/>
  <c r="BF12" i="12"/>
  <c r="J48" i="11" l="1"/>
  <c r="J60" i="11" s="1"/>
  <c r="J93" i="11" s="1"/>
  <c r="BE14" i="12"/>
  <c r="BE22" i="12"/>
  <c r="BE26" i="12"/>
  <c r="BE31" i="12" s="1"/>
  <c r="BE18" i="12"/>
  <c r="BE12" i="12"/>
  <c r="BF32" i="12"/>
  <c r="BE32" i="12" l="1"/>
  <c r="BE41" i="12" s="1"/>
  <c r="BE42" i="12" s="1"/>
  <c r="BF34" i="12"/>
  <c r="AJ48" i="17" s="1"/>
  <c r="BF41" i="12"/>
  <c r="BF42" i="12" s="1"/>
  <c r="AJ56" i="17" l="1"/>
  <c r="AJ68" i="17" s="1"/>
  <c r="AJ102" i="17" s="1"/>
  <c r="BE34" i="12"/>
  <c r="AH48" i="17" s="1"/>
  <c r="C7" i="17"/>
  <c r="C11" i="17" s="1"/>
  <c r="D7" i="17"/>
  <c r="D11" i="17" s="1"/>
  <c r="E7" i="17"/>
  <c r="E11" i="17" s="1"/>
  <c r="G7" i="17"/>
  <c r="G11" i="17" s="1"/>
  <c r="H7" i="17"/>
  <c r="H11" i="17" s="1"/>
  <c r="I7" i="17"/>
  <c r="I11" i="17" s="1"/>
  <c r="K7" i="17"/>
  <c r="L7" i="17"/>
  <c r="M7" i="17"/>
  <c r="O7" i="17"/>
  <c r="P7" i="17"/>
  <c r="Q7" i="17"/>
  <c r="S7" i="17"/>
  <c r="T7" i="17"/>
  <c r="U7" i="17"/>
  <c r="W7" i="17"/>
  <c r="X7" i="17"/>
  <c r="Y7" i="17"/>
  <c r="AA7" i="17"/>
  <c r="AB7" i="17"/>
  <c r="AC7" i="17"/>
  <c r="AE7" i="17"/>
  <c r="AF7" i="17"/>
  <c r="AG7" i="17"/>
  <c r="J70" i="17"/>
  <c r="J75" i="17"/>
  <c r="K8" i="17"/>
  <c r="L8" i="17"/>
  <c r="M8" i="17"/>
  <c r="N70" i="17"/>
  <c r="N75" i="17"/>
  <c r="O8" i="17"/>
  <c r="P8" i="17"/>
  <c r="Q8" i="17"/>
  <c r="R70" i="17"/>
  <c r="R75" i="17"/>
  <c r="S8" i="17"/>
  <c r="T8" i="17"/>
  <c r="U8" i="17"/>
  <c r="V70" i="17"/>
  <c r="V75" i="17"/>
  <c r="W8" i="17"/>
  <c r="X8" i="17"/>
  <c r="Y8" i="17"/>
  <c r="Z70" i="17"/>
  <c r="Z75" i="17"/>
  <c r="AA8" i="17"/>
  <c r="AB8" i="17"/>
  <c r="AC70" i="17"/>
  <c r="AD70" i="17"/>
  <c r="AD75" i="17"/>
  <c r="AE8" i="17"/>
  <c r="AF70" i="17"/>
  <c r="AG70" i="17"/>
  <c r="AG87" i="17" s="1"/>
  <c r="F9" i="17"/>
  <c r="J9" i="17"/>
  <c r="N9" i="17"/>
  <c r="R9" i="17"/>
  <c r="V9" i="17"/>
  <c r="Z9" i="17"/>
  <c r="AD9" i="17"/>
  <c r="F10" i="17"/>
  <c r="J10" i="17"/>
  <c r="N10" i="17"/>
  <c r="R10" i="17"/>
  <c r="V10" i="17"/>
  <c r="Z10" i="17"/>
  <c r="AD10" i="17"/>
  <c r="C12" i="17"/>
  <c r="G12" i="17"/>
  <c r="H12" i="17"/>
  <c r="I12" i="17"/>
  <c r="J58" i="17"/>
  <c r="J12" i="17" s="1"/>
  <c r="K12" i="17"/>
  <c r="L12" i="17"/>
  <c r="M12" i="17"/>
  <c r="N58" i="17"/>
  <c r="N12" i="17" s="1"/>
  <c r="O12" i="17"/>
  <c r="P12" i="17"/>
  <c r="Q12" i="17"/>
  <c r="R58" i="17"/>
  <c r="R12" i="17" s="1"/>
  <c r="S12" i="17"/>
  <c r="T12" i="17"/>
  <c r="U12" i="17"/>
  <c r="W12" i="17"/>
  <c r="X12" i="17"/>
  <c r="Y12" i="17"/>
  <c r="AA12" i="17"/>
  <c r="AB12" i="17"/>
  <c r="AC12" i="17"/>
  <c r="AD58" i="17"/>
  <c r="AE12" i="17"/>
  <c r="AF12" i="17"/>
  <c r="AG12" i="17"/>
  <c r="C13" i="17"/>
  <c r="D13" i="17"/>
  <c r="E13" i="17"/>
  <c r="G13" i="17"/>
  <c r="H13" i="17"/>
  <c r="I13" i="17"/>
  <c r="K50" i="17"/>
  <c r="K13" i="17" s="1"/>
  <c r="L13" i="17"/>
  <c r="O50" i="17"/>
  <c r="O13" i="17" s="1"/>
  <c r="P50" i="17"/>
  <c r="P13" i="17" s="1"/>
  <c r="Q50" i="17"/>
  <c r="Q13" i="17" s="1"/>
  <c r="R50" i="17"/>
  <c r="R13" i="17" s="1"/>
  <c r="S13" i="17"/>
  <c r="T13" i="17"/>
  <c r="U13" i="17"/>
  <c r="W13" i="17"/>
  <c r="X13" i="17"/>
  <c r="Y13" i="17"/>
  <c r="AD50" i="17"/>
  <c r="F14" i="17"/>
  <c r="J14" i="17"/>
  <c r="N14" i="17"/>
  <c r="R14" i="17"/>
  <c r="V14" i="17"/>
  <c r="Z14" i="17"/>
  <c r="K16" i="17"/>
  <c r="L16" i="17"/>
  <c r="M16" i="17"/>
  <c r="R16" i="17"/>
  <c r="V16" i="17"/>
  <c r="Z16" i="17"/>
  <c r="F17" i="17"/>
  <c r="J17" i="17"/>
  <c r="N17" i="17"/>
  <c r="R17" i="17"/>
  <c r="V17" i="17"/>
  <c r="Z17" i="17"/>
  <c r="C25" i="17"/>
  <c r="D25" i="17"/>
  <c r="E25" i="17"/>
  <c r="F25" i="17"/>
  <c r="G25" i="17"/>
  <c r="H25" i="17"/>
  <c r="I25" i="17"/>
  <c r="K25" i="17"/>
  <c r="L25" i="17"/>
  <c r="M25" i="17"/>
  <c r="O25" i="17"/>
  <c r="P25" i="17"/>
  <c r="Q25" i="17"/>
  <c r="S25" i="17"/>
  <c r="T25" i="17"/>
  <c r="U25" i="17"/>
  <c r="W25" i="17"/>
  <c r="X25" i="17"/>
  <c r="Y25" i="17"/>
  <c r="AA25" i="17"/>
  <c r="AB25" i="17"/>
  <c r="AC25" i="17"/>
  <c r="AD25" i="17"/>
  <c r="AE25" i="17"/>
  <c r="AF25" i="17"/>
  <c r="AG25" i="17"/>
  <c r="F31" i="17"/>
  <c r="J31" i="17"/>
  <c r="N31" i="17"/>
  <c r="R31" i="17"/>
  <c r="V31" i="17"/>
  <c r="Z31" i="17"/>
  <c r="F32" i="17"/>
  <c r="J32" i="17"/>
  <c r="N32" i="17"/>
  <c r="R32" i="17"/>
  <c r="V32" i="17"/>
  <c r="Z32" i="17"/>
  <c r="AD32" i="17"/>
  <c r="F33" i="17"/>
  <c r="J33" i="17"/>
  <c r="N33" i="17"/>
  <c r="R33" i="17"/>
  <c r="V33" i="17"/>
  <c r="Z33" i="17"/>
  <c r="C34" i="17"/>
  <c r="D34" i="17"/>
  <c r="E34" i="17"/>
  <c r="V34" i="17"/>
  <c r="Z34" i="17"/>
  <c r="F35" i="17"/>
  <c r="J35" i="17"/>
  <c r="N35" i="17"/>
  <c r="R35" i="17"/>
  <c r="V35" i="17"/>
  <c r="Z35" i="17"/>
  <c r="F37" i="17"/>
  <c r="J37" i="17"/>
  <c r="N37" i="17"/>
  <c r="R37" i="17"/>
  <c r="V37" i="17"/>
  <c r="Z37" i="17"/>
  <c r="F38" i="17"/>
  <c r="J38" i="17"/>
  <c r="N38" i="17"/>
  <c r="R38" i="17"/>
  <c r="V38" i="17"/>
  <c r="Z38" i="17"/>
  <c r="C42" i="17"/>
  <c r="D42" i="17"/>
  <c r="E42" i="17"/>
  <c r="F42" i="17"/>
  <c r="G42" i="17"/>
  <c r="H42" i="17"/>
  <c r="I42" i="17"/>
  <c r="J42" i="17"/>
  <c r="K42" i="17"/>
  <c r="L42" i="17"/>
  <c r="M42" i="17"/>
  <c r="N42" i="17"/>
  <c r="O42" i="17"/>
  <c r="P42" i="17"/>
  <c r="Q42" i="17"/>
  <c r="R42" i="17"/>
  <c r="S42" i="17"/>
  <c r="T42" i="17"/>
  <c r="U42" i="17"/>
  <c r="V42" i="17"/>
  <c r="W42" i="17"/>
  <c r="X42" i="17"/>
  <c r="Y42" i="17"/>
  <c r="Z42" i="17"/>
  <c r="AA42" i="17"/>
  <c r="AB42" i="17"/>
  <c r="AC42" i="17"/>
  <c r="AD42" i="17"/>
  <c r="AE42" i="17"/>
  <c r="AF42" i="17"/>
  <c r="AG42" i="17"/>
  <c r="C46" i="17"/>
  <c r="D46" i="17"/>
  <c r="E46" i="17"/>
  <c r="F46" i="17"/>
  <c r="G46" i="17"/>
  <c r="H46" i="17"/>
  <c r="I46" i="17"/>
  <c r="K46" i="17"/>
  <c r="L46" i="17"/>
  <c r="M46" i="17"/>
  <c r="O46" i="17"/>
  <c r="P46" i="17"/>
  <c r="Q46" i="17"/>
  <c r="S46" i="17"/>
  <c r="T46" i="17"/>
  <c r="U46" i="17"/>
  <c r="W46" i="17"/>
  <c r="X46" i="17"/>
  <c r="Y46" i="17"/>
  <c r="AA46" i="17"/>
  <c r="AB46" i="17"/>
  <c r="AC46" i="17"/>
  <c r="AD46" i="17"/>
  <c r="AE46" i="17"/>
  <c r="AF46" i="17"/>
  <c r="AG46" i="17"/>
  <c r="C47" i="17"/>
  <c r="D47" i="17"/>
  <c r="E47" i="17"/>
  <c r="F47" i="17"/>
  <c r="G47" i="17"/>
  <c r="H47" i="17"/>
  <c r="I47" i="17"/>
  <c r="K47" i="17"/>
  <c r="L47" i="17"/>
  <c r="M47" i="17"/>
  <c r="O47" i="17"/>
  <c r="Q47" i="17"/>
  <c r="S47" i="17"/>
  <c r="T47" i="17"/>
  <c r="U47" i="17"/>
  <c r="W47" i="17"/>
  <c r="X47" i="17"/>
  <c r="Y47" i="17"/>
  <c r="AA47" i="17"/>
  <c r="AB47" i="17"/>
  <c r="AC47" i="17"/>
  <c r="AE47" i="17"/>
  <c r="AF47" i="17"/>
  <c r="AG47" i="17"/>
  <c r="F49" i="17"/>
  <c r="J49" i="17"/>
  <c r="N49" i="17"/>
  <c r="R49" i="17"/>
  <c r="V49" i="17"/>
  <c r="Z49" i="17"/>
  <c r="AD49" i="17"/>
  <c r="C50" i="17"/>
  <c r="D50" i="17"/>
  <c r="E50" i="17"/>
  <c r="F51" i="17"/>
  <c r="F52" i="17"/>
  <c r="G50" i="17"/>
  <c r="H50" i="17"/>
  <c r="I50" i="17"/>
  <c r="J51" i="17"/>
  <c r="J52" i="17"/>
  <c r="L50" i="17"/>
  <c r="M50" i="17"/>
  <c r="N51" i="17"/>
  <c r="N52" i="17"/>
  <c r="V50" i="17"/>
  <c r="Z50" i="17"/>
  <c r="R51" i="17"/>
  <c r="V51" i="17"/>
  <c r="Z51" i="17"/>
  <c r="R52" i="17"/>
  <c r="V52" i="17"/>
  <c r="Z52" i="17"/>
  <c r="F53" i="17"/>
  <c r="J53" i="17"/>
  <c r="N53" i="17"/>
  <c r="R53" i="17"/>
  <c r="V53" i="17"/>
  <c r="Z53" i="17"/>
  <c r="AD53" i="17"/>
  <c r="F54" i="17"/>
  <c r="J54" i="17"/>
  <c r="N54" i="17"/>
  <c r="R54" i="17"/>
  <c r="V54" i="17"/>
  <c r="Z54" i="17"/>
  <c r="AD54" i="17"/>
  <c r="F55" i="17"/>
  <c r="J55" i="17"/>
  <c r="N55" i="17"/>
  <c r="R55" i="17"/>
  <c r="V55" i="17"/>
  <c r="Z55" i="17"/>
  <c r="AD55" i="17"/>
  <c r="F57" i="17"/>
  <c r="J57" i="17"/>
  <c r="N57" i="17"/>
  <c r="R57" i="17"/>
  <c r="V57" i="17"/>
  <c r="Z57" i="17"/>
  <c r="AD57" i="17"/>
  <c r="F58" i="17"/>
  <c r="V58" i="17"/>
  <c r="Z58" i="17"/>
  <c r="F59" i="17"/>
  <c r="J59" i="17"/>
  <c r="N59" i="17"/>
  <c r="R59" i="17"/>
  <c r="V59" i="17"/>
  <c r="Z59" i="17"/>
  <c r="AD59" i="17"/>
  <c r="F60" i="17"/>
  <c r="J60" i="17"/>
  <c r="N60" i="17"/>
  <c r="R60" i="17"/>
  <c r="V60" i="17"/>
  <c r="Z60" i="17"/>
  <c r="AD60" i="17"/>
  <c r="F61" i="17"/>
  <c r="J61" i="17"/>
  <c r="N61" i="17"/>
  <c r="R61" i="17"/>
  <c r="V61" i="17"/>
  <c r="Z61" i="17"/>
  <c r="AD61" i="17"/>
  <c r="F62" i="17"/>
  <c r="J62" i="17"/>
  <c r="L62" i="17"/>
  <c r="M62" i="17"/>
  <c r="N63" i="17"/>
  <c r="N64" i="17"/>
  <c r="O62" i="17"/>
  <c r="P62" i="17"/>
  <c r="Q62" i="17"/>
  <c r="R63" i="17"/>
  <c r="R64" i="17"/>
  <c r="S62" i="17"/>
  <c r="T62" i="17"/>
  <c r="U62" i="17"/>
  <c r="V63" i="17"/>
  <c r="V64" i="17"/>
  <c r="W62" i="17"/>
  <c r="X62" i="17"/>
  <c r="Y62" i="17"/>
  <c r="Z63" i="17"/>
  <c r="Z64" i="17"/>
  <c r="AA62" i="17"/>
  <c r="AB62" i="17"/>
  <c r="AC62" i="17"/>
  <c r="AD63" i="17"/>
  <c r="AD64" i="17"/>
  <c r="AE62" i="17"/>
  <c r="AF62" i="17"/>
  <c r="AG62" i="17"/>
  <c r="F63" i="17"/>
  <c r="J63" i="17"/>
  <c r="F64" i="17"/>
  <c r="J64" i="17"/>
  <c r="F65" i="17"/>
  <c r="J65" i="17"/>
  <c r="N66" i="17"/>
  <c r="N67" i="17"/>
  <c r="O65" i="17"/>
  <c r="P65" i="17"/>
  <c r="Q65" i="17"/>
  <c r="R66" i="17"/>
  <c r="R67" i="17"/>
  <c r="S65" i="17"/>
  <c r="T65" i="17"/>
  <c r="U65" i="17"/>
  <c r="V66" i="17"/>
  <c r="V67" i="17"/>
  <c r="W65" i="17"/>
  <c r="X65" i="17"/>
  <c r="Y65" i="17"/>
  <c r="Z66" i="17"/>
  <c r="Z67" i="17"/>
  <c r="AA65" i="17"/>
  <c r="AB65" i="17"/>
  <c r="AC65" i="17"/>
  <c r="AD66" i="17"/>
  <c r="AD67" i="17"/>
  <c r="AE65" i="17"/>
  <c r="AF65" i="17"/>
  <c r="AG65" i="17"/>
  <c r="F66" i="17"/>
  <c r="J66" i="17"/>
  <c r="F67" i="17"/>
  <c r="J67" i="17"/>
  <c r="F70" i="17"/>
  <c r="F71" i="17"/>
  <c r="J71" i="17"/>
  <c r="N71" i="17"/>
  <c r="R71" i="17"/>
  <c r="V71" i="17"/>
  <c r="Y71" i="17"/>
  <c r="Z71" i="17"/>
  <c r="AD71" i="17"/>
  <c r="AE71" i="17"/>
  <c r="F72" i="17"/>
  <c r="J72" i="17"/>
  <c r="N73" i="17"/>
  <c r="N74" i="17"/>
  <c r="O72" i="17"/>
  <c r="O87" i="17" s="1"/>
  <c r="P72" i="17"/>
  <c r="P87" i="17" s="1"/>
  <c r="Q72" i="17"/>
  <c r="Q87" i="17" s="1"/>
  <c r="R73" i="17"/>
  <c r="R74" i="17"/>
  <c r="S72" i="17"/>
  <c r="S87" i="17" s="1"/>
  <c r="T72" i="17"/>
  <c r="T87" i="17" s="1"/>
  <c r="U72" i="17"/>
  <c r="U87" i="17" s="1"/>
  <c r="V73" i="17"/>
  <c r="V74" i="17"/>
  <c r="W72" i="17"/>
  <c r="W87" i="17" s="1"/>
  <c r="X72" i="17"/>
  <c r="X87" i="17" s="1"/>
  <c r="Y72" i="17"/>
  <c r="Z73" i="17"/>
  <c r="Z74" i="17"/>
  <c r="AA72" i="17"/>
  <c r="AA87" i="17" s="1"/>
  <c r="AB72" i="17"/>
  <c r="AB87" i="17" s="1"/>
  <c r="AC72" i="17"/>
  <c r="AD73" i="17"/>
  <c r="AD74" i="17"/>
  <c r="AE72" i="17"/>
  <c r="AF72" i="17"/>
  <c r="AG72" i="17"/>
  <c r="F73" i="17"/>
  <c r="J73" i="17"/>
  <c r="F74" i="17"/>
  <c r="J74" i="17"/>
  <c r="F75" i="17"/>
  <c r="F76" i="17"/>
  <c r="J76" i="17"/>
  <c r="N76" i="17"/>
  <c r="R76" i="17"/>
  <c r="V76" i="17"/>
  <c r="Z76" i="17"/>
  <c r="AD76" i="17"/>
  <c r="F77" i="17"/>
  <c r="J77" i="17"/>
  <c r="N77" i="17"/>
  <c r="R77" i="17"/>
  <c r="V77" i="17"/>
  <c r="Z77" i="17"/>
  <c r="AD77" i="17"/>
  <c r="F78" i="17"/>
  <c r="J78" i="17"/>
  <c r="N78" i="17"/>
  <c r="R78" i="17"/>
  <c r="V78" i="17"/>
  <c r="Z78" i="17"/>
  <c r="AD78" i="17"/>
  <c r="F79" i="17"/>
  <c r="J79" i="17"/>
  <c r="N79" i="17"/>
  <c r="R79" i="17"/>
  <c r="V79" i="17"/>
  <c r="Z79" i="17"/>
  <c r="AD79" i="17"/>
  <c r="F80" i="17"/>
  <c r="J80" i="17"/>
  <c r="N80" i="17"/>
  <c r="R80" i="17"/>
  <c r="V80" i="17"/>
  <c r="Z80" i="17"/>
  <c r="AD80" i="17"/>
  <c r="F81" i="17"/>
  <c r="J81" i="17"/>
  <c r="N81" i="17"/>
  <c r="R81" i="17"/>
  <c r="V81" i="17"/>
  <c r="Z81" i="17"/>
  <c r="AD81" i="17"/>
  <c r="F82" i="17"/>
  <c r="J82" i="17"/>
  <c r="N82" i="17"/>
  <c r="R82" i="17"/>
  <c r="V82" i="17"/>
  <c r="Z82" i="17"/>
  <c r="AD82" i="17"/>
  <c r="C83" i="17"/>
  <c r="C87" i="17" s="1"/>
  <c r="D83" i="17"/>
  <c r="D87" i="17" s="1"/>
  <c r="E83" i="17"/>
  <c r="E87" i="17" s="1"/>
  <c r="F84" i="17"/>
  <c r="F85" i="17"/>
  <c r="G83" i="17"/>
  <c r="G87" i="17" s="1"/>
  <c r="H85" i="17"/>
  <c r="H83" i="17" s="1"/>
  <c r="H87" i="17" s="1"/>
  <c r="I85" i="17"/>
  <c r="I83" i="17" s="1"/>
  <c r="I87" i="17" s="1"/>
  <c r="J84" i="17"/>
  <c r="J85" i="17"/>
  <c r="K83" i="17"/>
  <c r="K87" i="17" s="1"/>
  <c r="L83" i="17"/>
  <c r="L87" i="17" s="1"/>
  <c r="M83" i="17"/>
  <c r="M87" i="17" s="1"/>
  <c r="N84" i="17"/>
  <c r="N85" i="17"/>
  <c r="O83" i="17"/>
  <c r="P83" i="17"/>
  <c r="Q83" i="17"/>
  <c r="R83" i="17"/>
  <c r="V83" i="17"/>
  <c r="Z83" i="17"/>
  <c r="AD83" i="17"/>
  <c r="R84" i="17"/>
  <c r="V84" i="17"/>
  <c r="Z84" i="17"/>
  <c r="AD84" i="17"/>
  <c r="R85" i="17"/>
  <c r="V85" i="17"/>
  <c r="Z85" i="17"/>
  <c r="AD85" i="17"/>
  <c r="F86" i="17"/>
  <c r="J86" i="17"/>
  <c r="N86" i="17"/>
  <c r="R86" i="17"/>
  <c r="V86" i="17"/>
  <c r="Z86" i="17"/>
  <c r="AD86" i="17"/>
  <c r="F89" i="17"/>
  <c r="J89" i="17"/>
  <c r="N89" i="17"/>
  <c r="R89" i="17"/>
  <c r="V89" i="17"/>
  <c r="Z89" i="17"/>
  <c r="AD89" i="17"/>
  <c r="F90" i="17"/>
  <c r="J90" i="17"/>
  <c r="N90" i="17"/>
  <c r="R90" i="17"/>
  <c r="V90" i="17"/>
  <c r="Z90" i="17"/>
  <c r="AD90" i="17"/>
  <c r="F91" i="17"/>
  <c r="J91" i="17"/>
  <c r="N91" i="17"/>
  <c r="R91" i="17"/>
  <c r="V91" i="17"/>
  <c r="Z91" i="17"/>
  <c r="AD91" i="17"/>
  <c r="F93" i="17"/>
  <c r="J93" i="17"/>
  <c r="N93" i="17"/>
  <c r="R93" i="17"/>
  <c r="V93" i="17"/>
  <c r="Z93" i="17"/>
  <c r="AD93" i="17"/>
  <c r="F94" i="17"/>
  <c r="J94" i="17"/>
  <c r="N94" i="17"/>
  <c r="R94" i="17"/>
  <c r="V94" i="17"/>
  <c r="Z94" i="17"/>
  <c r="AD94" i="17"/>
  <c r="F95" i="17"/>
  <c r="J95" i="17"/>
  <c r="N95" i="17"/>
  <c r="R95" i="17"/>
  <c r="V95" i="17"/>
  <c r="Z95" i="17"/>
  <c r="AD95" i="17"/>
  <c r="F96" i="17"/>
  <c r="J96" i="17"/>
  <c r="N96" i="17"/>
  <c r="R96" i="17"/>
  <c r="V96" i="17"/>
  <c r="Z96" i="17"/>
  <c r="AD96" i="17"/>
  <c r="F97" i="17"/>
  <c r="J97" i="17"/>
  <c r="N97" i="17"/>
  <c r="R97" i="17"/>
  <c r="V97" i="17"/>
  <c r="Z97" i="17"/>
  <c r="AD97" i="17"/>
  <c r="F98" i="17"/>
  <c r="J98" i="17"/>
  <c r="N98" i="17"/>
  <c r="R98" i="17"/>
  <c r="V98" i="17"/>
  <c r="Z98" i="17"/>
  <c r="AD98" i="17"/>
  <c r="F101" i="17"/>
  <c r="J101" i="17"/>
  <c r="N101" i="17"/>
  <c r="R101" i="17"/>
  <c r="V101" i="17"/>
  <c r="Z101" i="17"/>
  <c r="AD101" i="17"/>
  <c r="F105" i="17"/>
  <c r="J105" i="17"/>
  <c r="N105" i="17"/>
  <c r="R105" i="17"/>
  <c r="V105" i="17"/>
  <c r="AD105" i="17"/>
  <c r="C7" i="11"/>
  <c r="D7" i="11"/>
  <c r="E7" i="11"/>
  <c r="F7" i="11"/>
  <c r="G7" i="11"/>
  <c r="H7" i="11"/>
  <c r="I7" i="11"/>
  <c r="C8" i="11"/>
  <c r="F8" i="17" s="1"/>
  <c r="D8" i="11"/>
  <c r="D44" i="6" s="1"/>
  <c r="D45" i="6" s="1"/>
  <c r="D46" i="6" s="1"/>
  <c r="E8" i="11"/>
  <c r="E44" i="6" s="1"/>
  <c r="E45" i="6" s="1"/>
  <c r="E46" i="6" s="1"/>
  <c r="F8" i="11"/>
  <c r="G8" i="11"/>
  <c r="G44" i="6" s="1"/>
  <c r="G45" i="6" s="1"/>
  <c r="G46" i="6" s="1"/>
  <c r="H8" i="11"/>
  <c r="H44" i="6" s="1"/>
  <c r="H45" i="6" s="1"/>
  <c r="H46" i="6" s="1"/>
  <c r="I8" i="11"/>
  <c r="C12" i="11"/>
  <c r="F12" i="17" s="1"/>
  <c r="D12" i="11"/>
  <c r="E12" i="11"/>
  <c r="F12" i="11"/>
  <c r="G12" i="11"/>
  <c r="H12" i="11"/>
  <c r="I12" i="11"/>
  <c r="AD12" i="17" s="1"/>
  <c r="C42" i="11"/>
  <c r="C13" i="11" s="1"/>
  <c r="F13" i="17" s="1"/>
  <c r="D42" i="11"/>
  <c r="D13" i="11" s="1"/>
  <c r="J13" i="17" s="1"/>
  <c r="E42" i="11"/>
  <c r="E13" i="11" s="1"/>
  <c r="N13" i="17" s="1"/>
  <c r="F13" i="11"/>
  <c r="G13" i="11"/>
  <c r="V13" i="17" s="1"/>
  <c r="H13" i="11"/>
  <c r="Z13" i="17" s="1"/>
  <c r="C16" i="11"/>
  <c r="F16" i="17" s="1"/>
  <c r="D16" i="11"/>
  <c r="J16" i="17" s="1"/>
  <c r="E16" i="11"/>
  <c r="N16" i="17" s="1"/>
  <c r="A22" i="11"/>
  <c r="C26" i="11"/>
  <c r="F34" i="17" s="1"/>
  <c r="J34" i="17"/>
  <c r="N34" i="17"/>
  <c r="R34" i="17"/>
  <c r="C34" i="11"/>
  <c r="D34" i="11"/>
  <c r="E34" i="11"/>
  <c r="F34" i="11"/>
  <c r="G34" i="11"/>
  <c r="H34" i="11"/>
  <c r="I34" i="11"/>
  <c r="C38" i="11"/>
  <c r="D38" i="11"/>
  <c r="E38" i="11"/>
  <c r="F38" i="11"/>
  <c r="G38" i="11"/>
  <c r="H38" i="11"/>
  <c r="I38" i="11"/>
  <c r="C39" i="11"/>
  <c r="D39" i="11"/>
  <c r="E39" i="11"/>
  <c r="F39" i="11"/>
  <c r="G39" i="11"/>
  <c r="H39" i="11"/>
  <c r="E54" i="11"/>
  <c r="F54" i="11"/>
  <c r="G54" i="11"/>
  <c r="H54" i="11"/>
  <c r="I54" i="11"/>
  <c r="E57" i="11"/>
  <c r="F57" i="11"/>
  <c r="G57" i="11"/>
  <c r="H57" i="11"/>
  <c r="I57" i="11"/>
  <c r="E64" i="11"/>
  <c r="F64" i="11"/>
  <c r="F79" i="11" s="1"/>
  <c r="G64" i="11"/>
  <c r="G79" i="11" s="1"/>
  <c r="H64" i="11"/>
  <c r="H79" i="11" s="1"/>
  <c r="I64" i="11"/>
  <c r="I79" i="11" s="1"/>
  <c r="C75" i="11"/>
  <c r="C79" i="11" s="1"/>
  <c r="D75" i="11"/>
  <c r="D79" i="11" s="1"/>
  <c r="E75" i="11"/>
  <c r="C68" i="16"/>
  <c r="C75" i="16"/>
  <c r="C103" i="16"/>
  <c r="C104" i="16" s="1"/>
  <c r="D68" i="16"/>
  <c r="D75" i="16"/>
  <c r="D103" i="16"/>
  <c r="D104" i="16" s="1"/>
  <c r="E68" i="16"/>
  <c r="E75" i="16"/>
  <c r="E103" i="16"/>
  <c r="E104" i="16" s="1"/>
  <c r="F64" i="16"/>
  <c r="F22" i="16" s="1"/>
  <c r="F65" i="16"/>
  <c r="F23" i="16" s="1"/>
  <c r="F66" i="16"/>
  <c r="F67" i="16"/>
  <c r="F69" i="16"/>
  <c r="F70" i="16"/>
  <c r="F71" i="16"/>
  <c r="F72" i="16"/>
  <c r="F73" i="16"/>
  <c r="F74" i="16"/>
  <c r="F94" i="16"/>
  <c r="F95" i="16"/>
  <c r="F24" i="16" s="1"/>
  <c r="F96" i="16"/>
  <c r="F97" i="16"/>
  <c r="F98" i="16"/>
  <c r="F99" i="16"/>
  <c r="F100" i="16"/>
  <c r="F101" i="16"/>
  <c r="F102" i="16"/>
  <c r="G68" i="16"/>
  <c r="G75" i="16"/>
  <c r="G103" i="16"/>
  <c r="G104" i="16" s="1"/>
  <c r="H68" i="16"/>
  <c r="H75" i="16"/>
  <c r="H103" i="16"/>
  <c r="H104" i="16" s="1"/>
  <c r="I68" i="16"/>
  <c r="I75" i="16"/>
  <c r="I103" i="16"/>
  <c r="I104" i="16" s="1"/>
  <c r="J64" i="16"/>
  <c r="J22" i="16" s="1"/>
  <c r="J65" i="16"/>
  <c r="J23" i="16" s="1"/>
  <c r="J66" i="16"/>
  <c r="J67" i="16"/>
  <c r="J69" i="16"/>
  <c r="J70" i="16"/>
  <c r="J71" i="16"/>
  <c r="J72" i="16"/>
  <c r="J73" i="16"/>
  <c r="J74" i="16"/>
  <c r="J94" i="16"/>
  <c r="J95" i="16"/>
  <c r="J24" i="16" s="1"/>
  <c r="J96" i="16"/>
  <c r="J97" i="16"/>
  <c r="J98" i="16"/>
  <c r="J99" i="16"/>
  <c r="J100" i="16"/>
  <c r="J101" i="16"/>
  <c r="J102" i="16"/>
  <c r="K68" i="16"/>
  <c r="K75" i="16"/>
  <c r="K95" i="16"/>
  <c r="K24" i="16" s="1"/>
  <c r="K97" i="16"/>
  <c r="K26" i="16" s="1"/>
  <c r="K103" i="16"/>
  <c r="L68" i="16"/>
  <c r="L75" i="16"/>
  <c r="L95" i="16"/>
  <c r="L97" i="16"/>
  <c r="L26" i="16" s="1"/>
  <c r="L103" i="16"/>
  <c r="M68" i="16"/>
  <c r="M75" i="16"/>
  <c r="M95" i="16"/>
  <c r="M24" i="16" s="1"/>
  <c r="M97" i="16"/>
  <c r="M26" i="16" s="1"/>
  <c r="M103" i="16"/>
  <c r="N64" i="16"/>
  <c r="N22" i="16" s="1"/>
  <c r="N65" i="16"/>
  <c r="N23" i="16" s="1"/>
  <c r="N66" i="16"/>
  <c r="N67" i="16"/>
  <c r="N69" i="16"/>
  <c r="N70" i="16"/>
  <c r="N71" i="16"/>
  <c r="N72" i="16"/>
  <c r="N73" i="16"/>
  <c r="N74" i="16"/>
  <c r="N94" i="16"/>
  <c r="N96" i="16"/>
  <c r="N98" i="16"/>
  <c r="N99" i="16"/>
  <c r="N100" i="16"/>
  <c r="N101" i="16"/>
  <c r="N102" i="16"/>
  <c r="O68" i="16"/>
  <c r="O75" i="16"/>
  <c r="O95" i="16"/>
  <c r="O24" i="16" s="1"/>
  <c r="O97" i="16"/>
  <c r="O26" i="16" s="1"/>
  <c r="O103" i="16"/>
  <c r="P68" i="16"/>
  <c r="P75" i="16"/>
  <c r="P95" i="16"/>
  <c r="P24" i="16" s="1"/>
  <c r="P97" i="16"/>
  <c r="P26" i="16" s="1"/>
  <c r="P103" i="16"/>
  <c r="Q68" i="16"/>
  <c r="Q75" i="16"/>
  <c r="Q95" i="16"/>
  <c r="Q24" i="16" s="1"/>
  <c r="Q97" i="16"/>
  <c r="Q26" i="16" s="1"/>
  <c r="Q103" i="16"/>
  <c r="R64" i="16"/>
  <c r="R22" i="16" s="1"/>
  <c r="R65" i="16"/>
  <c r="R23" i="16" s="1"/>
  <c r="R66" i="16"/>
  <c r="R67" i="16"/>
  <c r="R69" i="16"/>
  <c r="R70" i="16"/>
  <c r="R71" i="16"/>
  <c r="R72" i="16"/>
  <c r="R73" i="16"/>
  <c r="R74" i="16"/>
  <c r="R94" i="16"/>
  <c r="R95" i="16"/>
  <c r="R24" i="16" s="1"/>
  <c r="R96" i="16"/>
  <c r="R97" i="16"/>
  <c r="R98" i="16"/>
  <c r="R99" i="16"/>
  <c r="R100" i="16"/>
  <c r="R101" i="16"/>
  <c r="R102" i="16"/>
  <c r="S68" i="16"/>
  <c r="S75" i="16"/>
  <c r="S95" i="16"/>
  <c r="S24" i="16" s="1"/>
  <c r="S97" i="16"/>
  <c r="S103" i="16"/>
  <c r="T68" i="16"/>
  <c r="T75" i="16"/>
  <c r="T95" i="16"/>
  <c r="T24" i="16" s="1"/>
  <c r="T97" i="16"/>
  <c r="T26" i="16" s="1"/>
  <c r="T103" i="16"/>
  <c r="U68" i="16"/>
  <c r="U75" i="16"/>
  <c r="U95" i="16"/>
  <c r="U97" i="16"/>
  <c r="U26" i="16" s="1"/>
  <c r="U103" i="16"/>
  <c r="V64" i="16"/>
  <c r="V22" i="16" s="1"/>
  <c r="V65" i="16"/>
  <c r="V23" i="16" s="1"/>
  <c r="V66" i="16"/>
  <c r="V67" i="16"/>
  <c r="V69" i="16"/>
  <c r="V70" i="16"/>
  <c r="V71" i="16"/>
  <c r="V72" i="16"/>
  <c r="V73" i="16"/>
  <c r="V74" i="16"/>
  <c r="V94" i="16"/>
  <c r="V95" i="16"/>
  <c r="V24" i="16" s="1"/>
  <c r="V96" i="16"/>
  <c r="V97" i="16"/>
  <c r="V98" i="16"/>
  <c r="V99" i="16"/>
  <c r="V100" i="16"/>
  <c r="V101" i="16"/>
  <c r="V102" i="16"/>
  <c r="W68" i="16"/>
  <c r="W74" i="16"/>
  <c r="W75" i="16" s="1"/>
  <c r="W103" i="16"/>
  <c r="W104" i="16" s="1"/>
  <c r="X68" i="16"/>
  <c r="X74" i="16"/>
  <c r="X75" i="16" s="1"/>
  <c r="X102" i="16"/>
  <c r="X103" i="16" s="1"/>
  <c r="X104" i="16" s="1"/>
  <c r="Y68" i="16"/>
  <c r="Y75" i="16"/>
  <c r="Y103" i="16"/>
  <c r="Y104" i="16" s="1"/>
  <c r="Z64" i="16"/>
  <c r="Z22" i="16" s="1"/>
  <c r="Z66" i="16"/>
  <c r="Z67" i="16"/>
  <c r="Z69" i="16"/>
  <c r="Z70" i="16"/>
  <c r="Z71" i="16"/>
  <c r="Z72" i="16"/>
  <c r="Z73" i="16"/>
  <c r="Z74" i="16"/>
  <c r="Z94" i="16"/>
  <c r="Z95" i="16"/>
  <c r="Z24" i="16" s="1"/>
  <c r="Z96" i="16"/>
  <c r="Z97" i="16"/>
  <c r="Z98" i="16"/>
  <c r="Z99" i="16"/>
  <c r="Z100" i="16"/>
  <c r="Z101" i="16"/>
  <c r="Z102" i="16"/>
  <c r="AA67" i="16"/>
  <c r="AA68" i="16" s="1"/>
  <c r="AA74" i="16"/>
  <c r="AA75" i="16" s="1"/>
  <c r="AA102" i="16"/>
  <c r="AA103" i="16" s="1"/>
  <c r="AA104" i="16" s="1"/>
  <c r="AB68" i="16"/>
  <c r="AB75" i="16"/>
  <c r="AB103" i="16"/>
  <c r="AB104" i="16" s="1"/>
  <c r="AD64" i="16"/>
  <c r="AD22" i="16" s="1"/>
  <c r="AD65" i="16"/>
  <c r="AD23" i="16" s="1"/>
  <c r="AD69" i="16"/>
  <c r="AD70" i="16"/>
  <c r="AD71" i="16"/>
  <c r="AD72" i="16"/>
  <c r="AE67" i="16"/>
  <c r="AE68" i="16" s="1"/>
  <c r="AE74" i="16"/>
  <c r="AE75" i="16" s="1"/>
  <c r="AE102" i="16"/>
  <c r="AE103" i="16" s="1"/>
  <c r="AE104" i="16" s="1"/>
  <c r="AF66" i="16"/>
  <c r="AF68" i="16" s="1"/>
  <c r="AF74" i="16"/>
  <c r="AF75" i="16" s="1"/>
  <c r="AF103" i="16"/>
  <c r="AF104" i="16" s="1"/>
  <c r="AG66" i="16"/>
  <c r="AG67" i="16" s="1"/>
  <c r="AG68" i="16" s="1"/>
  <c r="AG75" i="16"/>
  <c r="C38" i="16"/>
  <c r="C40" i="16" s="1"/>
  <c r="C36" i="16" s="1"/>
  <c r="C9" i="16" s="1"/>
  <c r="D38" i="16"/>
  <c r="D40" i="16" s="1"/>
  <c r="D36" i="16" s="1"/>
  <c r="D9" i="16" s="1"/>
  <c r="E38" i="16"/>
  <c r="E40" i="16" s="1"/>
  <c r="E36" i="16" s="1"/>
  <c r="E9" i="16" s="1"/>
  <c r="F84" i="16"/>
  <c r="F90" i="16"/>
  <c r="F55" i="16"/>
  <c r="F59" i="16"/>
  <c r="F39" i="16"/>
  <c r="F37" i="16"/>
  <c r="G38" i="16"/>
  <c r="G40" i="16" s="1"/>
  <c r="G36" i="16" s="1"/>
  <c r="G9" i="16" s="1"/>
  <c r="H38" i="16"/>
  <c r="H40" i="16" s="1"/>
  <c r="H36" i="16" s="1"/>
  <c r="H9" i="16" s="1"/>
  <c r="I38" i="16"/>
  <c r="I40" i="16" s="1"/>
  <c r="I36" i="16" s="1"/>
  <c r="I9" i="16" s="1"/>
  <c r="J84" i="16"/>
  <c r="J90" i="16"/>
  <c r="J55" i="16"/>
  <c r="J59" i="16"/>
  <c r="J39" i="16"/>
  <c r="J37" i="16"/>
  <c r="K38" i="16"/>
  <c r="K39" i="16"/>
  <c r="L38" i="16"/>
  <c r="L40" i="16" s="1"/>
  <c r="M38" i="16"/>
  <c r="M40" i="16" s="1"/>
  <c r="N84" i="16"/>
  <c r="N90" i="16"/>
  <c r="N55" i="16"/>
  <c r="N59" i="16"/>
  <c r="N39" i="16"/>
  <c r="O38" i="16"/>
  <c r="O39" i="16"/>
  <c r="P38" i="16"/>
  <c r="P39" i="16"/>
  <c r="Q38" i="16"/>
  <c r="Q39" i="16"/>
  <c r="S38" i="16"/>
  <c r="S39" i="16"/>
  <c r="T38" i="16"/>
  <c r="T39" i="16"/>
  <c r="U38" i="16"/>
  <c r="U39" i="16"/>
  <c r="V84" i="16"/>
  <c r="V90" i="16"/>
  <c r="V55" i="16"/>
  <c r="V59" i="16"/>
  <c r="V39" i="16"/>
  <c r="W38" i="16"/>
  <c r="W39" i="16"/>
  <c r="X38" i="16"/>
  <c r="X39" i="16"/>
  <c r="Y38" i="16"/>
  <c r="Y39" i="16"/>
  <c r="Z84" i="16"/>
  <c r="Z90" i="16"/>
  <c r="Z55" i="16"/>
  <c r="Z59" i="16"/>
  <c r="Z39" i="16"/>
  <c r="AA38" i="16"/>
  <c r="AA39" i="16"/>
  <c r="AB38" i="16"/>
  <c r="AB39" i="16"/>
  <c r="AC101" i="16"/>
  <c r="AD84" i="16"/>
  <c r="AD90" i="16"/>
  <c r="AD94" i="16"/>
  <c r="AD101" i="16"/>
  <c r="AD55" i="16"/>
  <c r="AD59" i="16"/>
  <c r="AD66" i="16"/>
  <c r="AD73" i="16"/>
  <c r="AE38" i="16"/>
  <c r="AE39" i="16"/>
  <c r="AF55" i="16"/>
  <c r="AF56" i="16" s="1"/>
  <c r="AF39" i="16"/>
  <c r="AG55" i="16"/>
  <c r="C12" i="16"/>
  <c r="D12" i="16"/>
  <c r="E12" i="16"/>
  <c r="F12" i="16"/>
  <c r="G12" i="16"/>
  <c r="H12" i="16"/>
  <c r="I12" i="16"/>
  <c r="J12" i="16"/>
  <c r="K12" i="16"/>
  <c r="L12" i="16"/>
  <c r="M12" i="16"/>
  <c r="N12" i="16"/>
  <c r="O12" i="16"/>
  <c r="P12" i="16"/>
  <c r="Q12" i="16"/>
  <c r="R12" i="16"/>
  <c r="S12" i="16"/>
  <c r="T12" i="16"/>
  <c r="U12" i="16"/>
  <c r="V12" i="16"/>
  <c r="W12" i="16"/>
  <c r="X12" i="16"/>
  <c r="Y12" i="16"/>
  <c r="Z12" i="16"/>
  <c r="AA12" i="16"/>
  <c r="AB12" i="16"/>
  <c r="AC12" i="16"/>
  <c r="AD12" i="16"/>
  <c r="AE12" i="16"/>
  <c r="AF12" i="16"/>
  <c r="AG12" i="16"/>
  <c r="C13" i="16"/>
  <c r="D13" i="16"/>
  <c r="E13" i="16"/>
  <c r="F13" i="16"/>
  <c r="G13" i="16"/>
  <c r="H13" i="16"/>
  <c r="I13" i="16"/>
  <c r="J13" i="16"/>
  <c r="K13" i="16"/>
  <c r="L13" i="16"/>
  <c r="M13" i="16"/>
  <c r="N13" i="16"/>
  <c r="O13" i="16"/>
  <c r="P13" i="16"/>
  <c r="Q13" i="16"/>
  <c r="R13" i="16"/>
  <c r="S13" i="16"/>
  <c r="T13" i="16"/>
  <c r="U13" i="16"/>
  <c r="V13" i="16"/>
  <c r="W13" i="16"/>
  <c r="X13" i="16"/>
  <c r="Y13" i="16"/>
  <c r="Z13" i="16"/>
  <c r="AA13" i="16"/>
  <c r="AB13" i="16"/>
  <c r="AC13" i="16"/>
  <c r="AD13" i="16"/>
  <c r="AE13" i="16"/>
  <c r="AF13" i="16"/>
  <c r="AG13" i="16"/>
  <c r="C18" i="16"/>
  <c r="C19" i="16"/>
  <c r="C20" i="16"/>
  <c r="D18" i="16"/>
  <c r="D19" i="16"/>
  <c r="D20" i="16"/>
  <c r="E18" i="16"/>
  <c r="E16" i="16" s="1"/>
  <c r="E19" i="16"/>
  <c r="E20" i="16"/>
  <c r="F47" i="16"/>
  <c r="F18" i="16" s="1"/>
  <c r="F48" i="16"/>
  <c r="F19" i="16" s="1"/>
  <c r="F50" i="16"/>
  <c r="F51" i="16"/>
  <c r="F52" i="16"/>
  <c r="F53" i="16"/>
  <c r="F17" i="16"/>
  <c r="G18" i="16"/>
  <c r="G16" i="16" s="1"/>
  <c r="G19" i="16"/>
  <c r="G20" i="16"/>
  <c r="H18" i="16"/>
  <c r="H19" i="16"/>
  <c r="H20" i="16"/>
  <c r="I18" i="16"/>
  <c r="I16" i="16" s="1"/>
  <c r="I19" i="16"/>
  <c r="I20" i="16"/>
  <c r="J47" i="16"/>
  <c r="J18" i="16" s="1"/>
  <c r="J48" i="16"/>
  <c r="J19" i="16" s="1"/>
  <c r="J50" i="16"/>
  <c r="J51" i="16"/>
  <c r="J52" i="16"/>
  <c r="J53" i="16"/>
  <c r="J17" i="16"/>
  <c r="K18" i="16"/>
  <c r="K16" i="16" s="1"/>
  <c r="K19" i="16"/>
  <c r="K20" i="16"/>
  <c r="L18" i="16"/>
  <c r="L16" i="16" s="1"/>
  <c r="L19" i="16"/>
  <c r="L20" i="16"/>
  <c r="M18" i="16"/>
  <c r="M19" i="16"/>
  <c r="M20" i="16"/>
  <c r="N47" i="16"/>
  <c r="N18" i="16" s="1"/>
  <c r="N48" i="16"/>
  <c r="N19" i="16" s="1"/>
  <c r="N50" i="16"/>
  <c r="N51" i="16"/>
  <c r="N52" i="16"/>
  <c r="N53" i="16"/>
  <c r="N17" i="16"/>
  <c r="O18" i="16"/>
  <c r="O19" i="16"/>
  <c r="O20" i="16"/>
  <c r="P18" i="16"/>
  <c r="P16" i="16" s="1"/>
  <c r="P19" i="16"/>
  <c r="P20" i="16"/>
  <c r="Q18" i="16"/>
  <c r="Q16" i="16" s="1"/>
  <c r="Q19" i="16"/>
  <c r="Q20" i="16"/>
  <c r="R47" i="16"/>
  <c r="R48" i="16"/>
  <c r="R19" i="16" s="1"/>
  <c r="R50" i="16"/>
  <c r="R51" i="16"/>
  <c r="R52" i="16"/>
  <c r="R53" i="16"/>
  <c r="R17" i="16"/>
  <c r="S18" i="16"/>
  <c r="S16" i="16" s="1"/>
  <c r="S19" i="16"/>
  <c r="S20" i="16"/>
  <c r="T18" i="16"/>
  <c r="T16" i="16" s="1"/>
  <c r="T19" i="16"/>
  <c r="T20" i="16"/>
  <c r="U18" i="16"/>
  <c r="U16" i="16" s="1"/>
  <c r="U19" i="16"/>
  <c r="U20" i="16"/>
  <c r="V47" i="16"/>
  <c r="V18" i="16" s="1"/>
  <c r="V48" i="16"/>
  <c r="V19" i="16" s="1"/>
  <c r="V50" i="16"/>
  <c r="V51" i="16"/>
  <c r="V52" i="16"/>
  <c r="V53" i="16"/>
  <c r="V17" i="16"/>
  <c r="W18" i="16"/>
  <c r="W16" i="16" s="1"/>
  <c r="W19" i="16"/>
  <c r="W20" i="16"/>
  <c r="X18" i="16"/>
  <c r="X19" i="16"/>
  <c r="X20" i="16"/>
  <c r="Y18" i="16"/>
  <c r="Y16" i="16" s="1"/>
  <c r="Y19" i="16"/>
  <c r="Y20" i="16"/>
  <c r="Z47" i="16"/>
  <c r="Z18" i="16" s="1"/>
  <c r="Z48" i="16"/>
  <c r="Z50" i="16"/>
  <c r="Z51" i="16"/>
  <c r="Z52" i="16"/>
  <c r="Z53" i="16"/>
  <c r="Z17" i="16"/>
  <c r="AA18" i="16"/>
  <c r="AA19" i="16"/>
  <c r="AA20" i="16"/>
  <c r="AB18" i="16"/>
  <c r="AB16" i="16" s="1"/>
  <c r="AB19" i="16"/>
  <c r="AB20" i="16"/>
  <c r="AC18" i="16"/>
  <c r="AC16" i="16" s="1"/>
  <c r="AC19" i="16"/>
  <c r="AC20" i="16"/>
  <c r="AD47" i="16"/>
  <c r="AD18" i="16" s="1"/>
  <c r="AD48" i="16"/>
  <c r="AD19" i="16" s="1"/>
  <c r="AD50" i="16"/>
  <c r="AD51" i="16"/>
  <c r="AD52" i="16"/>
  <c r="AD53" i="16"/>
  <c r="AD17" i="16"/>
  <c r="AE18" i="16"/>
  <c r="AE16" i="16" s="1"/>
  <c r="AE19" i="16"/>
  <c r="AE20" i="16"/>
  <c r="AF18" i="16"/>
  <c r="AF19" i="16"/>
  <c r="AF20" i="16"/>
  <c r="AG18" i="16"/>
  <c r="AG16" i="16" s="1"/>
  <c r="AG19" i="16"/>
  <c r="AG20" i="16"/>
  <c r="C22" i="16"/>
  <c r="D22" i="16"/>
  <c r="E22" i="16"/>
  <c r="G22" i="16"/>
  <c r="H22" i="16"/>
  <c r="I22" i="16"/>
  <c r="K22" i="16"/>
  <c r="L22" i="16"/>
  <c r="M22" i="16"/>
  <c r="O22" i="16"/>
  <c r="P22" i="16"/>
  <c r="Q22" i="16"/>
  <c r="S22" i="16"/>
  <c r="T22" i="16"/>
  <c r="U22" i="16"/>
  <c r="W22" i="16"/>
  <c r="X22" i="16"/>
  <c r="Y22" i="16"/>
  <c r="AA22" i="16"/>
  <c r="AB22" i="16"/>
  <c r="AC22" i="16"/>
  <c r="AE22" i="16"/>
  <c r="AF22" i="16"/>
  <c r="AG22" i="16"/>
  <c r="C23" i="16"/>
  <c r="D23" i="16"/>
  <c r="E23" i="16"/>
  <c r="G23" i="16"/>
  <c r="H23" i="16"/>
  <c r="I23" i="16"/>
  <c r="K23" i="16"/>
  <c r="L23" i="16"/>
  <c r="M23" i="16"/>
  <c r="O23" i="16"/>
  <c r="P23" i="16"/>
  <c r="Q23" i="16"/>
  <c r="S23" i="16"/>
  <c r="T23" i="16"/>
  <c r="U23" i="16"/>
  <c r="W23" i="16"/>
  <c r="X23" i="16"/>
  <c r="Y23" i="16"/>
  <c r="AA23" i="16"/>
  <c r="AB23" i="16"/>
  <c r="AC23" i="16"/>
  <c r="AE23" i="16"/>
  <c r="AF23" i="16"/>
  <c r="AG23" i="16"/>
  <c r="C24" i="16"/>
  <c r="D24" i="16"/>
  <c r="E24" i="16"/>
  <c r="G24" i="16"/>
  <c r="H24" i="16"/>
  <c r="I24" i="16"/>
  <c r="W24" i="16"/>
  <c r="X24" i="16"/>
  <c r="Y24" i="16"/>
  <c r="AA24" i="16"/>
  <c r="AB24" i="16"/>
  <c r="AC24" i="16"/>
  <c r="AD95" i="16"/>
  <c r="AD24" i="16" s="1"/>
  <c r="AE24" i="16"/>
  <c r="AF24" i="16"/>
  <c r="AG24" i="16"/>
  <c r="C26" i="16"/>
  <c r="D26" i="16"/>
  <c r="E26" i="16"/>
  <c r="F56" i="16"/>
  <c r="F58" i="16"/>
  <c r="F60" i="16"/>
  <c r="F85" i="16"/>
  <c r="F89" i="16"/>
  <c r="F91" i="16"/>
  <c r="G26" i="16"/>
  <c r="H26" i="16"/>
  <c r="I26" i="16"/>
  <c r="J56" i="16"/>
  <c r="J58" i="16"/>
  <c r="J60" i="16"/>
  <c r="J85" i="16"/>
  <c r="J89" i="16"/>
  <c r="J91" i="16"/>
  <c r="N56" i="16"/>
  <c r="N58" i="16"/>
  <c r="N60" i="16"/>
  <c r="N85" i="16"/>
  <c r="N89" i="16"/>
  <c r="N91" i="16"/>
  <c r="R56" i="16"/>
  <c r="R58" i="16"/>
  <c r="R60" i="16"/>
  <c r="R85" i="16"/>
  <c r="R89" i="16"/>
  <c r="R91" i="16"/>
  <c r="V56" i="16"/>
  <c r="V58" i="16"/>
  <c r="V60" i="16"/>
  <c r="V85" i="16"/>
  <c r="V89" i="16"/>
  <c r="V91" i="16"/>
  <c r="Y26" i="16"/>
  <c r="Z56" i="16"/>
  <c r="Z58" i="16"/>
  <c r="Z60" i="16"/>
  <c r="Z85" i="16"/>
  <c r="Z89" i="16"/>
  <c r="Z91" i="16"/>
  <c r="AA56" i="16"/>
  <c r="AB26" i="16"/>
  <c r="AC56" i="16"/>
  <c r="AC67" i="16"/>
  <c r="AC68" i="16" s="1"/>
  <c r="AC76" i="16" s="1"/>
  <c r="AD58" i="16"/>
  <c r="AD60" i="16"/>
  <c r="AD85" i="16"/>
  <c r="AD89" i="16"/>
  <c r="AD91" i="16"/>
  <c r="AD96" i="16"/>
  <c r="AD97" i="16"/>
  <c r="AD100" i="16"/>
  <c r="AE56" i="16"/>
  <c r="AE57" i="16" s="1"/>
  <c r="AF89" i="16"/>
  <c r="C29" i="16"/>
  <c r="D29" i="16"/>
  <c r="E29" i="16"/>
  <c r="F77" i="16"/>
  <c r="F105" i="16"/>
  <c r="G29" i="16"/>
  <c r="H29" i="16"/>
  <c r="I29" i="16"/>
  <c r="J77" i="16"/>
  <c r="J105" i="16"/>
  <c r="K29" i="16"/>
  <c r="L29" i="16"/>
  <c r="M29" i="16"/>
  <c r="N77" i="16"/>
  <c r="N105" i="16"/>
  <c r="O29" i="16"/>
  <c r="P29" i="16"/>
  <c r="Q29" i="16"/>
  <c r="R77" i="16"/>
  <c r="R105" i="16"/>
  <c r="S29" i="16"/>
  <c r="T29" i="16"/>
  <c r="U29" i="16"/>
  <c r="V77" i="16"/>
  <c r="V105" i="16"/>
  <c r="W29" i="16"/>
  <c r="X29" i="16"/>
  <c r="Y29" i="16"/>
  <c r="Z77" i="16"/>
  <c r="Z105" i="16"/>
  <c r="AA29" i="16"/>
  <c r="AB29" i="16"/>
  <c r="AC29" i="16"/>
  <c r="AD105" i="16"/>
  <c r="AD29" i="16" s="1"/>
  <c r="AE29" i="16"/>
  <c r="AF29" i="16"/>
  <c r="AG29" i="16"/>
  <c r="C111" i="16"/>
  <c r="C114" i="16"/>
  <c r="D111" i="16"/>
  <c r="D114" i="16"/>
  <c r="E111" i="16"/>
  <c r="E114" i="16"/>
  <c r="F108" i="16"/>
  <c r="F109" i="16"/>
  <c r="F110" i="16"/>
  <c r="F112" i="16"/>
  <c r="F113" i="16"/>
  <c r="G111" i="16"/>
  <c r="G114" i="16"/>
  <c r="H111" i="16"/>
  <c r="H114" i="16"/>
  <c r="I111" i="16"/>
  <c r="I114" i="16"/>
  <c r="J108" i="16"/>
  <c r="J109" i="16"/>
  <c r="J110" i="16"/>
  <c r="J112" i="16"/>
  <c r="J113" i="16"/>
  <c r="K111" i="16"/>
  <c r="K114" i="16"/>
  <c r="L111" i="16"/>
  <c r="L114" i="16"/>
  <c r="M111" i="16"/>
  <c r="M114" i="16"/>
  <c r="N108" i="16"/>
  <c r="N109" i="16"/>
  <c r="N110" i="16"/>
  <c r="N112" i="16"/>
  <c r="N113" i="16"/>
  <c r="O111" i="16"/>
  <c r="O114" i="16"/>
  <c r="P111" i="16"/>
  <c r="P114" i="16"/>
  <c r="Q111" i="16"/>
  <c r="Q114" i="16"/>
  <c r="R108" i="16"/>
  <c r="R109" i="16"/>
  <c r="R110" i="16"/>
  <c r="R112" i="16"/>
  <c r="R113" i="16"/>
  <c r="S111" i="16"/>
  <c r="S114" i="16"/>
  <c r="T111" i="16"/>
  <c r="T114" i="16"/>
  <c r="U111" i="16"/>
  <c r="U114" i="16"/>
  <c r="V108" i="16"/>
  <c r="V109" i="16"/>
  <c r="V110" i="16"/>
  <c r="V112" i="16"/>
  <c r="V113" i="16"/>
  <c r="W111" i="16"/>
  <c r="W114" i="16"/>
  <c r="X111" i="16"/>
  <c r="X114" i="16"/>
  <c r="Y111" i="16"/>
  <c r="Y114" i="16"/>
  <c r="Z108" i="16"/>
  <c r="Z109" i="16"/>
  <c r="Z110" i="16"/>
  <c r="Z112" i="16"/>
  <c r="Z113" i="16"/>
  <c r="AA111" i="16"/>
  <c r="AA114" i="16"/>
  <c r="AB111" i="16"/>
  <c r="AB114" i="16"/>
  <c r="AC111" i="16"/>
  <c r="AC114" i="16"/>
  <c r="AE111" i="16"/>
  <c r="AE114" i="16"/>
  <c r="AF111" i="16"/>
  <c r="AF114" i="16"/>
  <c r="AG111" i="16"/>
  <c r="AG114" i="16"/>
  <c r="C33" i="16"/>
  <c r="C35" i="16" s="1"/>
  <c r="D33" i="16"/>
  <c r="D35" i="16" s="1"/>
  <c r="E33" i="16"/>
  <c r="E35" i="16" s="1"/>
  <c r="F54" i="16"/>
  <c r="F62" i="16"/>
  <c r="F86" i="16"/>
  <c r="F87" i="16"/>
  <c r="F88" i="16"/>
  <c r="G33" i="16"/>
  <c r="G35" i="16" s="1"/>
  <c r="H33" i="16"/>
  <c r="H35" i="16" s="1"/>
  <c r="I33" i="16"/>
  <c r="I35" i="16" s="1"/>
  <c r="J54" i="16"/>
  <c r="J62" i="16"/>
  <c r="J86" i="16"/>
  <c r="J87" i="16"/>
  <c r="J88" i="16"/>
  <c r="K33" i="16"/>
  <c r="L33" i="16"/>
  <c r="L35" i="16" s="1"/>
  <c r="M33" i="16"/>
  <c r="M35" i="16" s="1"/>
  <c r="N54" i="16"/>
  <c r="N62" i="16"/>
  <c r="N86" i="16"/>
  <c r="N87" i="16"/>
  <c r="N88" i="16"/>
  <c r="O33" i="16"/>
  <c r="P33" i="16"/>
  <c r="Q33" i="16"/>
  <c r="R54" i="16"/>
  <c r="R62" i="16"/>
  <c r="R86" i="16"/>
  <c r="R87" i="16"/>
  <c r="R88" i="16"/>
  <c r="S33" i="16"/>
  <c r="T33" i="16"/>
  <c r="U33" i="16"/>
  <c r="V54" i="16"/>
  <c r="V62" i="16"/>
  <c r="V86" i="16"/>
  <c r="V87" i="16"/>
  <c r="V88" i="16"/>
  <c r="W33" i="16"/>
  <c r="X33" i="16"/>
  <c r="Y33" i="16"/>
  <c r="Z54" i="16"/>
  <c r="Z62" i="16"/>
  <c r="Z86" i="16"/>
  <c r="Z87" i="16"/>
  <c r="Z88" i="16"/>
  <c r="AA33" i="16"/>
  <c r="AA35" i="16" s="1"/>
  <c r="AB33" i="16"/>
  <c r="AB35" i="16" s="1"/>
  <c r="AC33" i="16"/>
  <c r="AC35" i="16" s="1"/>
  <c r="AD54" i="16"/>
  <c r="AD62" i="16"/>
  <c r="AD86" i="16"/>
  <c r="AD87" i="16"/>
  <c r="AD88" i="16"/>
  <c r="AD98" i="16"/>
  <c r="AD99" i="16"/>
  <c r="AE33" i="16"/>
  <c r="AE35" i="16" s="1"/>
  <c r="AF33" i="16"/>
  <c r="AF35" i="16" s="1"/>
  <c r="AG33" i="16"/>
  <c r="AG35" i="16" s="1"/>
  <c r="F34" i="16"/>
  <c r="J34" i="16"/>
  <c r="K34" i="16"/>
  <c r="N34" i="16"/>
  <c r="O34" i="16"/>
  <c r="P34" i="16"/>
  <c r="Q34" i="16"/>
  <c r="R34" i="16"/>
  <c r="S34" i="16"/>
  <c r="T34" i="16"/>
  <c r="U34" i="16"/>
  <c r="V34" i="16"/>
  <c r="W34" i="16"/>
  <c r="X34" i="16"/>
  <c r="Y34" i="16"/>
  <c r="Z34" i="16"/>
  <c r="N37" i="16"/>
  <c r="R37" i="16"/>
  <c r="V37" i="16"/>
  <c r="Z37" i="16"/>
  <c r="AC37" i="16"/>
  <c r="AD37" i="16"/>
  <c r="AE37" i="16"/>
  <c r="AG37" i="16"/>
  <c r="R84" i="16"/>
  <c r="R90" i="16"/>
  <c r="R55" i="16"/>
  <c r="R59" i="16"/>
  <c r="R39" i="16"/>
  <c r="C44" i="16"/>
  <c r="D44" i="16"/>
  <c r="E44" i="16"/>
  <c r="F44" i="16"/>
  <c r="G44" i="16"/>
  <c r="H44" i="16"/>
  <c r="I44" i="16"/>
  <c r="J44" i="16"/>
  <c r="K44" i="16"/>
  <c r="L44" i="16"/>
  <c r="M44" i="16"/>
  <c r="N44" i="16"/>
  <c r="O44" i="16"/>
  <c r="P44" i="16"/>
  <c r="Q44" i="16"/>
  <c r="R44" i="16"/>
  <c r="S44" i="16"/>
  <c r="T44" i="16"/>
  <c r="U44" i="16"/>
  <c r="V44" i="16"/>
  <c r="W44" i="16"/>
  <c r="X44" i="16"/>
  <c r="Y44" i="16"/>
  <c r="Z44" i="16"/>
  <c r="AA44" i="16"/>
  <c r="AB44" i="16"/>
  <c r="AC44" i="16"/>
  <c r="AD44" i="16"/>
  <c r="AE44" i="16"/>
  <c r="AF44" i="16"/>
  <c r="AG44" i="16"/>
  <c r="C45" i="16"/>
  <c r="D45" i="16"/>
  <c r="E45" i="16"/>
  <c r="F45" i="16"/>
  <c r="G45" i="16"/>
  <c r="H45" i="16"/>
  <c r="I45" i="16"/>
  <c r="J45" i="16"/>
  <c r="K45" i="16"/>
  <c r="L45" i="16"/>
  <c r="M45" i="16"/>
  <c r="N45" i="16"/>
  <c r="O45" i="16"/>
  <c r="P45" i="16"/>
  <c r="Q45" i="16"/>
  <c r="R45" i="16"/>
  <c r="S45" i="16"/>
  <c r="T45" i="16"/>
  <c r="U45" i="16"/>
  <c r="V45" i="16"/>
  <c r="W45" i="16"/>
  <c r="X45" i="16"/>
  <c r="Y45" i="16"/>
  <c r="Z45" i="16"/>
  <c r="AA45" i="16"/>
  <c r="AB45" i="16"/>
  <c r="AC45" i="16"/>
  <c r="AD45" i="16"/>
  <c r="AE45" i="16"/>
  <c r="AF45" i="16"/>
  <c r="AG45" i="16"/>
  <c r="F49" i="16"/>
  <c r="J49" i="16"/>
  <c r="N49" i="16"/>
  <c r="R49" i="16"/>
  <c r="V49" i="16"/>
  <c r="Z49" i="16"/>
  <c r="AD49" i="16"/>
  <c r="C57" i="16"/>
  <c r="D57" i="16"/>
  <c r="E57" i="16"/>
  <c r="G57" i="16"/>
  <c r="H57" i="16"/>
  <c r="I57" i="16"/>
  <c r="K57" i="16"/>
  <c r="L57" i="16"/>
  <c r="M57" i="16"/>
  <c r="O57" i="16"/>
  <c r="P57" i="16"/>
  <c r="Q57" i="16"/>
  <c r="S57" i="16"/>
  <c r="T57" i="16"/>
  <c r="U57" i="16"/>
  <c r="W57" i="16"/>
  <c r="X57" i="16"/>
  <c r="Y57" i="16"/>
  <c r="AB57" i="16"/>
  <c r="AD57" i="16"/>
  <c r="C61" i="16"/>
  <c r="D61" i="16"/>
  <c r="E61" i="16"/>
  <c r="G61" i="16"/>
  <c r="H61" i="16"/>
  <c r="I61" i="16"/>
  <c r="K61" i="16"/>
  <c r="L61" i="16"/>
  <c r="M61" i="16"/>
  <c r="O61" i="16"/>
  <c r="P61" i="16"/>
  <c r="Q61" i="16"/>
  <c r="S61" i="16"/>
  <c r="T61" i="16"/>
  <c r="U61" i="16"/>
  <c r="W61" i="16"/>
  <c r="X61" i="16"/>
  <c r="Y61" i="16"/>
  <c r="AA61" i="16"/>
  <c r="AB61" i="16"/>
  <c r="AC61" i="16"/>
  <c r="AC63" i="16" s="1"/>
  <c r="AE61" i="16"/>
  <c r="AF61" i="16"/>
  <c r="AG61" i="16"/>
  <c r="C81" i="16"/>
  <c r="D81" i="16"/>
  <c r="E81" i="16"/>
  <c r="F81" i="16"/>
  <c r="G81" i="16"/>
  <c r="H81" i="16"/>
  <c r="I81" i="16"/>
  <c r="J81" i="16"/>
  <c r="K81" i="16"/>
  <c r="L81" i="16"/>
  <c r="M81" i="16"/>
  <c r="N81" i="16"/>
  <c r="O81" i="16"/>
  <c r="P81" i="16"/>
  <c r="Q81" i="16"/>
  <c r="R81" i="16"/>
  <c r="S81" i="16"/>
  <c r="T81" i="16"/>
  <c r="U81" i="16"/>
  <c r="V81" i="16"/>
  <c r="W81" i="16"/>
  <c r="X81" i="16"/>
  <c r="Y81" i="16"/>
  <c r="Z81" i="16"/>
  <c r="AA81" i="16"/>
  <c r="AB81" i="16"/>
  <c r="AC81" i="16"/>
  <c r="AD81" i="16"/>
  <c r="AE81" i="16"/>
  <c r="AF81" i="16"/>
  <c r="AG81" i="16"/>
  <c r="C82" i="16"/>
  <c r="D82" i="16"/>
  <c r="E82" i="16"/>
  <c r="F82" i="16"/>
  <c r="G82" i="16"/>
  <c r="H82" i="16"/>
  <c r="I82" i="16"/>
  <c r="J82" i="16"/>
  <c r="K82" i="16"/>
  <c r="L82" i="16"/>
  <c r="M82" i="16"/>
  <c r="R82" i="16"/>
  <c r="V82" i="16"/>
  <c r="W82" i="16"/>
  <c r="X82" i="16"/>
  <c r="Z82" i="16"/>
  <c r="AA82" i="16"/>
  <c r="AB82" i="16"/>
  <c r="AE82" i="16"/>
  <c r="AF82" i="16"/>
  <c r="C92" i="16"/>
  <c r="C93" i="16" s="1"/>
  <c r="D92" i="16"/>
  <c r="D93" i="16" s="1"/>
  <c r="E92" i="16"/>
  <c r="E93" i="16" s="1"/>
  <c r="G92" i="16"/>
  <c r="G93" i="16" s="1"/>
  <c r="H92" i="16"/>
  <c r="H93" i="16" s="1"/>
  <c r="I92" i="16"/>
  <c r="I93" i="16" s="1"/>
  <c r="K92" i="16"/>
  <c r="K93" i="16" s="1"/>
  <c r="L92" i="16"/>
  <c r="L93" i="16" s="1"/>
  <c r="M92" i="16"/>
  <c r="M93" i="16" s="1"/>
  <c r="O92" i="16"/>
  <c r="O93" i="16" s="1"/>
  <c r="P92" i="16"/>
  <c r="P93" i="16" s="1"/>
  <c r="Q92" i="16"/>
  <c r="Q93" i="16" s="1"/>
  <c r="S92" i="16"/>
  <c r="S93" i="16" s="1"/>
  <c r="T92" i="16"/>
  <c r="T93" i="16" s="1"/>
  <c r="U92" i="16"/>
  <c r="U93" i="16" s="1"/>
  <c r="W92" i="16"/>
  <c r="W93" i="16" s="1"/>
  <c r="X92" i="16"/>
  <c r="X93" i="16" s="1"/>
  <c r="Y92" i="16"/>
  <c r="Y93" i="16" s="1"/>
  <c r="AA92" i="16"/>
  <c r="AA93" i="16" s="1"/>
  <c r="AB92" i="16"/>
  <c r="AB93" i="16" s="1"/>
  <c r="AC92" i="16"/>
  <c r="AC93" i="16" s="1"/>
  <c r="AE92" i="16"/>
  <c r="AE93" i="16" s="1"/>
  <c r="AF92" i="16"/>
  <c r="AG92" i="16"/>
  <c r="AG93" i="16" s="1"/>
  <c r="AD108" i="16"/>
  <c r="AD109" i="16"/>
  <c r="AD110" i="16"/>
  <c r="AD112" i="16"/>
  <c r="AD113" i="16"/>
  <c r="C68" i="1"/>
  <c r="C75" i="1"/>
  <c r="C103" i="1"/>
  <c r="C104" i="1" s="1"/>
  <c r="D68" i="1"/>
  <c r="D75" i="1"/>
  <c r="D103" i="1"/>
  <c r="D104" i="1" s="1"/>
  <c r="E68" i="1"/>
  <c r="E75" i="1"/>
  <c r="E95" i="1"/>
  <c r="E97" i="1"/>
  <c r="N97" i="16" s="1"/>
  <c r="E103" i="1"/>
  <c r="F68" i="1"/>
  <c r="F75" i="1"/>
  <c r="F103" i="1"/>
  <c r="F104" i="1" s="1"/>
  <c r="G68" i="1"/>
  <c r="G75" i="1"/>
  <c r="G103" i="1"/>
  <c r="G104" i="1" s="1"/>
  <c r="H65" i="1"/>
  <c r="H23" i="1" s="1"/>
  <c r="H68" i="1"/>
  <c r="H75" i="1"/>
  <c r="H103" i="1"/>
  <c r="H104" i="1" s="1"/>
  <c r="I76" i="1"/>
  <c r="I104" i="1"/>
  <c r="AD104" i="16" s="1"/>
  <c r="C38" i="1"/>
  <c r="C40" i="1" s="1"/>
  <c r="C36" i="1" s="1"/>
  <c r="C9" i="1" s="1"/>
  <c r="C48" i="6" s="1"/>
  <c r="C49" i="6" s="1"/>
  <c r="D38" i="1"/>
  <c r="D40" i="1" s="1"/>
  <c r="D36" i="1" s="1"/>
  <c r="E38" i="1"/>
  <c r="E40" i="1" s="1"/>
  <c r="F38" i="1"/>
  <c r="F40" i="1" s="1"/>
  <c r="F9" i="1" s="1"/>
  <c r="F48" i="6" s="1"/>
  <c r="F49" i="6" s="1"/>
  <c r="G38" i="1"/>
  <c r="G40" i="1" s="1"/>
  <c r="G9" i="1" s="1"/>
  <c r="G48" i="6" s="1"/>
  <c r="G49" i="6" s="1"/>
  <c r="H38" i="1"/>
  <c r="H40" i="1" s="1"/>
  <c r="I38" i="1"/>
  <c r="I40" i="1" s="1"/>
  <c r="AH21" i="17" s="1"/>
  <c r="C12" i="1"/>
  <c r="D12" i="1"/>
  <c r="E12" i="1"/>
  <c r="F12" i="1"/>
  <c r="G12" i="1"/>
  <c r="H12" i="1"/>
  <c r="I12" i="1"/>
  <c r="C13" i="1"/>
  <c r="D13" i="1"/>
  <c r="E13" i="1"/>
  <c r="F13" i="1"/>
  <c r="G13" i="1"/>
  <c r="H13" i="1"/>
  <c r="I13" i="1"/>
  <c r="C18" i="1"/>
  <c r="C19" i="1"/>
  <c r="C20" i="1"/>
  <c r="D18" i="1"/>
  <c r="D16" i="1" s="1"/>
  <c r="D19" i="1"/>
  <c r="D20" i="1"/>
  <c r="E18" i="1"/>
  <c r="E16" i="1" s="1"/>
  <c r="E19" i="1"/>
  <c r="E20" i="1"/>
  <c r="F18" i="1"/>
  <c r="F19" i="1"/>
  <c r="F20" i="1"/>
  <c r="G18" i="1"/>
  <c r="G16" i="1" s="1"/>
  <c r="G19" i="1"/>
  <c r="G20" i="1"/>
  <c r="H18" i="1"/>
  <c r="H16" i="1" s="1"/>
  <c r="H19" i="1"/>
  <c r="H20" i="1"/>
  <c r="I18" i="1"/>
  <c r="I16" i="1" s="1"/>
  <c r="I19" i="1"/>
  <c r="I20" i="1"/>
  <c r="C22" i="1"/>
  <c r="D22" i="1"/>
  <c r="E22" i="1"/>
  <c r="F22" i="1"/>
  <c r="G22" i="1"/>
  <c r="H22" i="1"/>
  <c r="I22" i="1"/>
  <c r="C23" i="1"/>
  <c r="D23" i="1"/>
  <c r="E23" i="1"/>
  <c r="F23" i="1"/>
  <c r="G23" i="1"/>
  <c r="I23" i="1"/>
  <c r="C24" i="1"/>
  <c r="D24" i="1"/>
  <c r="F24" i="1"/>
  <c r="G24" i="1"/>
  <c r="H24" i="1"/>
  <c r="I24" i="1"/>
  <c r="C26" i="1"/>
  <c r="D26" i="1"/>
  <c r="F26" i="1"/>
  <c r="G26" i="1"/>
  <c r="H26" i="1"/>
  <c r="AD56" i="16"/>
  <c r="AD67" i="16"/>
  <c r="AD74" i="16"/>
  <c r="AD102" i="16"/>
  <c r="C29" i="1"/>
  <c r="D29" i="1"/>
  <c r="E29" i="1"/>
  <c r="F29" i="1"/>
  <c r="G29" i="1"/>
  <c r="H29" i="1"/>
  <c r="I29" i="1"/>
  <c r="C111" i="1"/>
  <c r="C114" i="1"/>
  <c r="D111" i="1"/>
  <c r="D114" i="1"/>
  <c r="E111" i="1"/>
  <c r="E114" i="1"/>
  <c r="F111" i="1"/>
  <c r="F114" i="1"/>
  <c r="G111" i="1"/>
  <c r="G114" i="1"/>
  <c r="H111" i="1"/>
  <c r="H114" i="1"/>
  <c r="I111" i="1"/>
  <c r="I114" i="1"/>
  <c r="C33" i="1"/>
  <c r="C35" i="1" s="1"/>
  <c r="D33" i="1"/>
  <c r="D35" i="1" s="1"/>
  <c r="E33" i="1"/>
  <c r="E35" i="1" s="1"/>
  <c r="F33" i="1"/>
  <c r="F35" i="1" s="1"/>
  <c r="G33" i="1"/>
  <c r="G35" i="1" s="1"/>
  <c r="H33" i="1"/>
  <c r="H35" i="1" s="1"/>
  <c r="I33" i="1"/>
  <c r="I35" i="1" s="1"/>
  <c r="C44" i="1"/>
  <c r="D44" i="1"/>
  <c r="E44" i="1"/>
  <c r="F44" i="1"/>
  <c r="G44" i="1"/>
  <c r="H44" i="1"/>
  <c r="I44" i="1"/>
  <c r="C45" i="1"/>
  <c r="D45" i="1"/>
  <c r="E45" i="1"/>
  <c r="F45" i="1"/>
  <c r="G45" i="1"/>
  <c r="H45" i="1"/>
  <c r="I45" i="1"/>
  <c r="C57" i="1"/>
  <c r="D57" i="1"/>
  <c r="E57" i="1"/>
  <c r="F57" i="1"/>
  <c r="G57" i="1"/>
  <c r="C61" i="1"/>
  <c r="D61" i="1"/>
  <c r="E61" i="1"/>
  <c r="F61" i="1"/>
  <c r="G61" i="1"/>
  <c r="H61" i="1"/>
  <c r="I61" i="1"/>
  <c r="I63" i="1" s="1"/>
  <c r="C81" i="1"/>
  <c r="D81" i="1"/>
  <c r="E81" i="1"/>
  <c r="F81" i="1"/>
  <c r="G81" i="1"/>
  <c r="H81" i="1"/>
  <c r="I81" i="1"/>
  <c r="C82" i="1"/>
  <c r="D82" i="1"/>
  <c r="F82" i="1"/>
  <c r="G82" i="1"/>
  <c r="H82" i="1"/>
  <c r="I82" i="1"/>
  <c r="C92" i="1"/>
  <c r="C93" i="1" s="1"/>
  <c r="D92" i="1"/>
  <c r="D93" i="1" s="1"/>
  <c r="E92" i="1"/>
  <c r="E93" i="1" s="1"/>
  <c r="F92" i="1"/>
  <c r="F93" i="1" s="1"/>
  <c r="G92" i="1"/>
  <c r="G93" i="1" s="1"/>
  <c r="H92" i="1"/>
  <c r="H93" i="1" s="1"/>
  <c r="I92" i="1"/>
  <c r="AE7" i="15"/>
  <c r="AE25" i="15" s="1"/>
  <c r="AG7" i="15"/>
  <c r="AG25" i="15" s="1"/>
  <c r="AN7" i="15" s="1"/>
  <c r="AN25" i="15" s="1"/>
  <c r="AI7" i="15"/>
  <c r="AI25" i="15" s="1"/>
  <c r="AL7" i="15"/>
  <c r="AL25" i="15" s="1"/>
  <c r="AP7" i="15"/>
  <c r="AP25" i="15" s="1"/>
  <c r="AS7" i="15"/>
  <c r="AS25" i="15" s="1"/>
  <c r="AU7" i="15"/>
  <c r="AU25" i="15" s="1"/>
  <c r="AW7" i="15"/>
  <c r="AW25" i="15" s="1"/>
  <c r="AZ7" i="15"/>
  <c r="AZ25" i="15" s="1"/>
  <c r="BB7" i="15"/>
  <c r="BB25" i="15" s="1"/>
  <c r="BD7" i="15"/>
  <c r="BD25" i="15" s="1"/>
  <c r="D9" i="15"/>
  <c r="F9" i="15"/>
  <c r="I9" i="15"/>
  <c r="H9" i="15" s="1"/>
  <c r="K9" i="15"/>
  <c r="M9" i="15"/>
  <c r="P9" i="15"/>
  <c r="O9" i="15" s="1"/>
  <c r="R9" i="15"/>
  <c r="T9" i="15"/>
  <c r="W9" i="15"/>
  <c r="V9" i="15" s="1"/>
  <c r="Y9" i="15"/>
  <c r="AA9" i="15"/>
  <c r="AD9" i="15"/>
  <c r="AC9" i="15" s="1"/>
  <c r="AF9" i="15"/>
  <c r="AH9" i="15"/>
  <c r="AK9" i="15"/>
  <c r="AJ9" i="15" s="1"/>
  <c r="AM9" i="15"/>
  <c r="AO9" i="15"/>
  <c r="AR9" i="15"/>
  <c r="AQ9" i="15" s="1"/>
  <c r="AT9" i="15"/>
  <c r="AV9" i="15"/>
  <c r="AY9" i="15"/>
  <c r="AX9" i="15" s="1"/>
  <c r="BA9" i="15"/>
  <c r="BC9" i="15"/>
  <c r="D11" i="15"/>
  <c r="F11" i="15"/>
  <c r="I11" i="15"/>
  <c r="H11" i="15" s="1"/>
  <c r="K11" i="15"/>
  <c r="M11" i="15"/>
  <c r="P11" i="15"/>
  <c r="O11" i="15" s="1"/>
  <c r="R11" i="15"/>
  <c r="T11" i="15"/>
  <c r="W11" i="15"/>
  <c r="V11" i="15" s="1"/>
  <c r="Y11" i="15"/>
  <c r="AA11" i="15"/>
  <c r="AD11" i="15"/>
  <c r="AC11" i="15" s="1"/>
  <c r="AF11" i="15"/>
  <c r="AH11" i="15"/>
  <c r="AK11" i="15"/>
  <c r="AJ11" i="15" s="1"/>
  <c r="AM11" i="15"/>
  <c r="AO11" i="15"/>
  <c r="AR11" i="15"/>
  <c r="AQ11" i="15" s="1"/>
  <c r="AT11" i="15"/>
  <c r="AV11" i="15"/>
  <c r="AY11" i="15"/>
  <c r="AX11" i="15" s="1"/>
  <c r="BA11" i="15"/>
  <c r="BC11" i="15"/>
  <c r="D13" i="15"/>
  <c r="F13" i="15"/>
  <c r="I13" i="15"/>
  <c r="H13" i="15" s="1"/>
  <c r="K13" i="15"/>
  <c r="M13" i="15"/>
  <c r="P13" i="15"/>
  <c r="O13" i="15" s="1"/>
  <c r="R13" i="15"/>
  <c r="T13" i="15"/>
  <c r="W13" i="15"/>
  <c r="V13" i="15" s="1"/>
  <c r="Y13" i="15"/>
  <c r="AA13" i="15"/>
  <c r="AD13" i="15"/>
  <c r="AC13" i="15" s="1"/>
  <c r="AF13" i="15"/>
  <c r="AH13" i="15"/>
  <c r="AK13" i="15"/>
  <c r="AJ13" i="15" s="1"/>
  <c r="AM13" i="15"/>
  <c r="AO13" i="15"/>
  <c r="AR13" i="15"/>
  <c r="AQ13" i="15" s="1"/>
  <c r="AT13" i="15"/>
  <c r="AV13" i="15"/>
  <c r="AY13" i="15"/>
  <c r="AX13" i="15" s="1"/>
  <c r="BA13" i="15"/>
  <c r="BC13" i="15"/>
  <c r="J15" i="15"/>
  <c r="L15" i="15"/>
  <c r="N15" i="15"/>
  <c r="Q15" i="15"/>
  <c r="S15" i="15"/>
  <c r="U15" i="15"/>
  <c r="D17" i="15"/>
  <c r="F17" i="15"/>
  <c r="I17" i="15"/>
  <c r="H17" i="15" s="1"/>
  <c r="K17" i="15"/>
  <c r="M17" i="15"/>
  <c r="P17" i="15"/>
  <c r="O17" i="15" s="1"/>
  <c r="R17" i="15"/>
  <c r="T17" i="15"/>
  <c r="W17" i="15"/>
  <c r="V17" i="15" s="1"/>
  <c r="Y17" i="15"/>
  <c r="AA17" i="15"/>
  <c r="AD17" i="15"/>
  <c r="AC17" i="15" s="1"/>
  <c r="AF17" i="15"/>
  <c r="AH17" i="15"/>
  <c r="AK17" i="15"/>
  <c r="AJ17" i="15" s="1"/>
  <c r="AM17" i="15"/>
  <c r="AO17" i="15"/>
  <c r="AR17" i="15"/>
  <c r="AQ17" i="15" s="1"/>
  <c r="AT17" i="15"/>
  <c r="AV17" i="15"/>
  <c r="AY17" i="15"/>
  <c r="AX17" i="15" s="1"/>
  <c r="BA17" i="15"/>
  <c r="BC17" i="15"/>
  <c r="D19" i="15"/>
  <c r="F19" i="15"/>
  <c r="I19" i="15"/>
  <c r="H19" i="15" s="1"/>
  <c r="K19" i="15"/>
  <c r="M19" i="15"/>
  <c r="P19" i="15"/>
  <c r="O19" i="15" s="1"/>
  <c r="R19" i="15"/>
  <c r="T19" i="15"/>
  <c r="W19" i="15"/>
  <c r="V19" i="15" s="1"/>
  <c r="Y19" i="15"/>
  <c r="AA19" i="15"/>
  <c r="AD19" i="15"/>
  <c r="AC19" i="15" s="1"/>
  <c r="AF19" i="15"/>
  <c r="AH19" i="15"/>
  <c r="AK19" i="15"/>
  <c r="AJ19" i="15" s="1"/>
  <c r="AM19" i="15"/>
  <c r="AO19" i="15"/>
  <c r="AR19" i="15"/>
  <c r="AQ19" i="15" s="1"/>
  <c r="AT19" i="15"/>
  <c r="AV19" i="15"/>
  <c r="AY19" i="15"/>
  <c r="AX19" i="15" s="1"/>
  <c r="BA19" i="15"/>
  <c r="BC19" i="15"/>
  <c r="D21" i="15"/>
  <c r="F21" i="15"/>
  <c r="I21" i="15"/>
  <c r="H21" i="15" s="1"/>
  <c r="K21" i="15"/>
  <c r="M21" i="15"/>
  <c r="P21" i="15"/>
  <c r="O21" i="15" s="1"/>
  <c r="R21" i="15"/>
  <c r="T21" i="15"/>
  <c r="W21" i="15"/>
  <c r="V21" i="15" s="1"/>
  <c r="Y21" i="15"/>
  <c r="AA21" i="15"/>
  <c r="AD21" i="15"/>
  <c r="AC21" i="15" s="1"/>
  <c r="AF21" i="15"/>
  <c r="AH21" i="15"/>
  <c r="AK21" i="15"/>
  <c r="AJ21" i="15" s="1"/>
  <c r="AM21" i="15"/>
  <c r="AO21" i="15"/>
  <c r="AR21" i="15"/>
  <c r="AQ21" i="15" s="1"/>
  <c r="AT21" i="15"/>
  <c r="AV21" i="15"/>
  <c r="AY21" i="15"/>
  <c r="AX21" i="15" s="1"/>
  <c r="BA21" i="15"/>
  <c r="BC21" i="15"/>
  <c r="D23" i="15"/>
  <c r="F23" i="15"/>
  <c r="I23" i="15"/>
  <c r="H23" i="15" s="1"/>
  <c r="K23" i="15"/>
  <c r="M23" i="15"/>
  <c r="P23" i="15"/>
  <c r="O23" i="15" s="1"/>
  <c r="R23" i="15"/>
  <c r="T23" i="15"/>
  <c r="W23" i="15"/>
  <c r="V23" i="15" s="1"/>
  <c r="Y23" i="15"/>
  <c r="AA23" i="15"/>
  <c r="AD23" i="15"/>
  <c r="AC23" i="15" s="1"/>
  <c r="AF23" i="15"/>
  <c r="AH23" i="15"/>
  <c r="AK23" i="15"/>
  <c r="AJ23" i="15" s="1"/>
  <c r="AM23" i="15"/>
  <c r="AO23" i="15"/>
  <c r="AR23" i="15"/>
  <c r="AQ23" i="15" s="1"/>
  <c r="AT23" i="15"/>
  <c r="AV23" i="15"/>
  <c r="AY23" i="15"/>
  <c r="AX23" i="15" s="1"/>
  <c r="BA23" i="15"/>
  <c r="BC23" i="15"/>
  <c r="G7" i="10"/>
  <c r="G25" i="10" s="1"/>
  <c r="H7" i="10"/>
  <c r="H25" i="10" s="1"/>
  <c r="I7" i="10"/>
  <c r="I25" i="10" s="1"/>
  <c r="D15" i="10"/>
  <c r="E15" i="10"/>
  <c r="I7" i="13"/>
  <c r="P7" i="13"/>
  <c r="W7" i="13"/>
  <c r="AD7" i="13"/>
  <c r="AK7" i="13"/>
  <c r="AR7" i="13"/>
  <c r="AY7" i="13"/>
  <c r="I9" i="13"/>
  <c r="P9" i="13"/>
  <c r="W9" i="13"/>
  <c r="AD9" i="13"/>
  <c r="AK9" i="13"/>
  <c r="AR9" i="13"/>
  <c r="AY9" i="13"/>
  <c r="I11" i="13"/>
  <c r="P11" i="13"/>
  <c r="W11" i="13"/>
  <c r="AD11" i="13"/>
  <c r="AK11" i="13"/>
  <c r="AR11" i="13"/>
  <c r="AY11" i="13"/>
  <c r="I13" i="13"/>
  <c r="P13" i="13"/>
  <c r="W13" i="13"/>
  <c r="AD13" i="13"/>
  <c r="AK13" i="13"/>
  <c r="AR13" i="13"/>
  <c r="C15" i="13"/>
  <c r="D15" i="13"/>
  <c r="E15" i="13"/>
  <c r="F15" i="13"/>
  <c r="G15" i="13"/>
  <c r="H15" i="13"/>
  <c r="J15" i="13"/>
  <c r="K15" i="13"/>
  <c r="L15" i="13"/>
  <c r="M15" i="13"/>
  <c r="N15" i="13"/>
  <c r="O15" i="13"/>
  <c r="Q15" i="13"/>
  <c r="R15" i="13"/>
  <c r="S15" i="13"/>
  <c r="T15" i="13"/>
  <c r="U15" i="13"/>
  <c r="V15" i="13"/>
  <c r="X15" i="13"/>
  <c r="Y15" i="13"/>
  <c r="Z15" i="13"/>
  <c r="AA15" i="13"/>
  <c r="AB15" i="13"/>
  <c r="AC15" i="13"/>
  <c r="AE15" i="13"/>
  <c r="AF15" i="13"/>
  <c r="AG15" i="13"/>
  <c r="AH15" i="13"/>
  <c r="AI15" i="13"/>
  <c r="AJ15" i="13"/>
  <c r="AL15" i="13"/>
  <c r="AM15" i="13"/>
  <c r="AN15" i="13"/>
  <c r="AO15" i="13"/>
  <c r="AP15" i="13"/>
  <c r="AQ15" i="13"/>
  <c r="AS15" i="13"/>
  <c r="AT15" i="13"/>
  <c r="AU15" i="13"/>
  <c r="AV15" i="13"/>
  <c r="AW15" i="13"/>
  <c r="AX15" i="13"/>
  <c r="AZ15" i="13"/>
  <c r="BA15" i="13"/>
  <c r="BB15" i="13"/>
  <c r="BC15" i="13"/>
  <c r="BD15" i="13"/>
  <c r="C15" i="9"/>
  <c r="D15" i="9"/>
  <c r="E15" i="9"/>
  <c r="F15" i="9"/>
  <c r="G15" i="9"/>
  <c r="H15" i="9"/>
  <c r="I15" i="9"/>
  <c r="D7" i="12"/>
  <c r="F7" i="12"/>
  <c r="I7" i="12"/>
  <c r="H7" i="12" s="1"/>
  <c r="K7" i="12"/>
  <c r="M7" i="12"/>
  <c r="P7" i="12"/>
  <c r="R7" i="12"/>
  <c r="T7" i="12"/>
  <c r="W7" i="12"/>
  <c r="V7" i="12" s="1"/>
  <c r="Y7" i="12"/>
  <c r="AA7" i="12"/>
  <c r="AD7" i="12"/>
  <c r="AF7" i="12"/>
  <c r="AH7" i="12"/>
  <c r="AK7" i="12"/>
  <c r="AJ7" i="12" s="1"/>
  <c r="AM7" i="12"/>
  <c r="AO7" i="12"/>
  <c r="AR7" i="12"/>
  <c r="AT7" i="12"/>
  <c r="AV7" i="12"/>
  <c r="AY7" i="12"/>
  <c r="AX7" i="12" s="1"/>
  <c r="BA7" i="12"/>
  <c r="BC7" i="12"/>
  <c r="D8" i="12"/>
  <c r="F8" i="12"/>
  <c r="I8" i="12"/>
  <c r="H8" i="12" s="1"/>
  <c r="K8" i="12"/>
  <c r="M8" i="12"/>
  <c r="P8" i="12"/>
  <c r="O8" i="12" s="1"/>
  <c r="R8" i="12"/>
  <c r="T8" i="12"/>
  <c r="W8" i="12"/>
  <c r="V8" i="12" s="1"/>
  <c r="Y8" i="12"/>
  <c r="AA8" i="12"/>
  <c r="AD8" i="12"/>
  <c r="AC8" i="12" s="1"/>
  <c r="AF8" i="12"/>
  <c r="AH8" i="12"/>
  <c r="AK8" i="12"/>
  <c r="AJ8" i="12" s="1"/>
  <c r="AM8" i="12"/>
  <c r="AO8" i="12"/>
  <c r="AR8" i="12"/>
  <c r="AQ8" i="12" s="1"/>
  <c r="AT8" i="12"/>
  <c r="AV8" i="12"/>
  <c r="AY8" i="12"/>
  <c r="AX8" i="12" s="1"/>
  <c r="BA8" i="12"/>
  <c r="BC8" i="12"/>
  <c r="C9" i="12"/>
  <c r="E9" i="12"/>
  <c r="G9" i="12"/>
  <c r="J9" i="12"/>
  <c r="L9" i="12"/>
  <c r="N9" i="12"/>
  <c r="Q9" i="12"/>
  <c r="S9" i="12"/>
  <c r="U9" i="12"/>
  <c r="X9" i="12"/>
  <c r="Z9" i="12"/>
  <c r="AB9" i="12"/>
  <c r="AE9" i="12"/>
  <c r="AG9" i="12"/>
  <c r="AI9" i="12"/>
  <c r="AL9" i="12"/>
  <c r="AN9" i="12"/>
  <c r="AP9" i="12"/>
  <c r="AS9" i="12"/>
  <c r="AU9" i="12"/>
  <c r="AW9" i="12"/>
  <c r="AZ9" i="12"/>
  <c r="BB9" i="12"/>
  <c r="BD9" i="12"/>
  <c r="D11" i="12"/>
  <c r="F11" i="12"/>
  <c r="I11" i="12"/>
  <c r="F7" i="17" s="1"/>
  <c r="K11" i="12"/>
  <c r="M11" i="12"/>
  <c r="P11" i="12"/>
  <c r="O11" i="12" s="1"/>
  <c r="R11" i="12"/>
  <c r="T11" i="12"/>
  <c r="W11" i="12"/>
  <c r="N7" i="17" s="1"/>
  <c r="Y11" i="12"/>
  <c r="AA11" i="12"/>
  <c r="AD11" i="12"/>
  <c r="AC11" i="12" s="1"/>
  <c r="AF11" i="12"/>
  <c r="AH11" i="12"/>
  <c r="AK11" i="12"/>
  <c r="V7" i="17" s="1"/>
  <c r="AM11" i="12"/>
  <c r="AO11" i="12"/>
  <c r="AR11" i="12"/>
  <c r="Z7" i="17" s="1"/>
  <c r="AT11" i="12"/>
  <c r="AV11" i="12"/>
  <c r="AY11" i="12"/>
  <c r="AD7" i="17" s="1"/>
  <c r="BA11" i="12"/>
  <c r="BC11" i="12"/>
  <c r="C12" i="12"/>
  <c r="E12" i="12"/>
  <c r="G12" i="12"/>
  <c r="J12" i="12"/>
  <c r="L12" i="12"/>
  <c r="N12" i="12"/>
  <c r="Q12" i="12"/>
  <c r="S12" i="12"/>
  <c r="U12" i="12"/>
  <c r="X12" i="12"/>
  <c r="Z12" i="12"/>
  <c r="AB12" i="12"/>
  <c r="AE12" i="12"/>
  <c r="AG12" i="12"/>
  <c r="AI12" i="12"/>
  <c r="AL12" i="12"/>
  <c r="AN12" i="12"/>
  <c r="AP12" i="12"/>
  <c r="AS12" i="12"/>
  <c r="AU12" i="12"/>
  <c r="AW12" i="12"/>
  <c r="AZ12" i="12"/>
  <c r="BB12" i="12"/>
  <c r="BD12" i="12"/>
  <c r="C21" i="12"/>
  <c r="J7" i="15" s="1"/>
  <c r="D16" i="12"/>
  <c r="D19" i="12"/>
  <c r="E21" i="12"/>
  <c r="E26" i="12" s="1"/>
  <c r="F16" i="12"/>
  <c r="F19" i="12"/>
  <c r="G21" i="12"/>
  <c r="N7" i="15" s="1"/>
  <c r="I16" i="12"/>
  <c r="I19" i="12"/>
  <c r="H19" i="12" s="1"/>
  <c r="J21" i="12"/>
  <c r="J22" i="12" s="1"/>
  <c r="K16" i="12"/>
  <c r="K19" i="12"/>
  <c r="L21" i="12"/>
  <c r="S7" i="15" s="1"/>
  <c r="M16" i="12"/>
  <c r="M19" i="12"/>
  <c r="N21" i="12"/>
  <c r="U7" i="15" s="1"/>
  <c r="P16" i="12"/>
  <c r="O16" i="12" s="1"/>
  <c r="P19" i="12"/>
  <c r="Q21" i="12"/>
  <c r="X7" i="15" s="1"/>
  <c r="X25" i="15" s="1"/>
  <c r="R16" i="12"/>
  <c r="R19" i="12"/>
  <c r="S21" i="12"/>
  <c r="Z7" i="15" s="1"/>
  <c r="Z25" i="15" s="1"/>
  <c r="T16" i="12"/>
  <c r="T19" i="12"/>
  <c r="U21" i="12"/>
  <c r="AB7" i="15" s="1"/>
  <c r="AB25" i="15" s="1"/>
  <c r="W16" i="12"/>
  <c r="V16" i="12" s="1"/>
  <c r="W19" i="12"/>
  <c r="V19" i="12" s="1"/>
  <c r="X14" i="12"/>
  <c r="Y21" i="12"/>
  <c r="Z14" i="12"/>
  <c r="AA21" i="12"/>
  <c r="AB14" i="12"/>
  <c r="AD21" i="12"/>
  <c r="AE14" i="12"/>
  <c r="AF21" i="12"/>
  <c r="AG14" i="12"/>
  <c r="AH21" i="12"/>
  <c r="AI14" i="12"/>
  <c r="AK21" i="12"/>
  <c r="AL14" i="12"/>
  <c r="AM21" i="12"/>
  <c r="AO21" i="12"/>
  <c r="AP14" i="12"/>
  <c r="AR21" i="12"/>
  <c r="AS14" i="12"/>
  <c r="AT21" i="12"/>
  <c r="AU14" i="12"/>
  <c r="AV21" i="12"/>
  <c r="AW14" i="12"/>
  <c r="AY21" i="12"/>
  <c r="BF7" i="15" s="1"/>
  <c r="BF25" i="15" s="1"/>
  <c r="AZ14" i="12"/>
  <c r="BA21" i="12"/>
  <c r="BH7" i="15" s="1"/>
  <c r="BH25" i="15" s="1"/>
  <c r="BB14" i="12"/>
  <c r="BC21" i="12"/>
  <c r="BJ7" i="15" s="1"/>
  <c r="BJ25" i="15" s="1"/>
  <c r="BD14" i="12"/>
  <c r="Y16" i="12"/>
  <c r="AA16" i="12"/>
  <c r="AD16" i="12"/>
  <c r="AF16" i="12"/>
  <c r="AH16" i="12"/>
  <c r="AK16" i="12"/>
  <c r="AM16" i="12"/>
  <c r="AO16" i="12"/>
  <c r="AR16" i="12"/>
  <c r="AQ16" i="12" s="1"/>
  <c r="AT16" i="12"/>
  <c r="AV16" i="12"/>
  <c r="AX16" i="12"/>
  <c r="BA16" i="12"/>
  <c r="BC16" i="12"/>
  <c r="C18" i="12"/>
  <c r="E18" i="12"/>
  <c r="G18" i="12"/>
  <c r="J18" i="12"/>
  <c r="L18" i="12"/>
  <c r="N18" i="12"/>
  <c r="Q18" i="12"/>
  <c r="S18" i="12"/>
  <c r="U18" i="12"/>
  <c r="X18" i="12"/>
  <c r="Z18" i="12"/>
  <c r="AB18" i="12"/>
  <c r="AE18" i="12"/>
  <c r="AG18" i="12"/>
  <c r="AI18" i="12"/>
  <c r="AL18" i="12"/>
  <c r="AN18" i="12"/>
  <c r="AP18" i="12"/>
  <c r="AS18" i="12"/>
  <c r="AU18" i="12"/>
  <c r="AW18" i="12"/>
  <c r="AZ18" i="12"/>
  <c r="BB18" i="12"/>
  <c r="BD18" i="12"/>
  <c r="Y19" i="12"/>
  <c r="AA19" i="12"/>
  <c r="AD19" i="12"/>
  <c r="AC19" i="12" s="1"/>
  <c r="AF19" i="12"/>
  <c r="AH19" i="12"/>
  <c r="AK19" i="12"/>
  <c r="AJ19" i="12" s="1"/>
  <c r="AM19" i="12"/>
  <c r="AO19" i="12"/>
  <c r="AR19" i="12"/>
  <c r="AQ19" i="12" s="1"/>
  <c r="AT19" i="12"/>
  <c r="AV19" i="12"/>
  <c r="AX19" i="12"/>
  <c r="BA19" i="12"/>
  <c r="BC19" i="12"/>
  <c r="X22" i="12"/>
  <c r="Z22" i="12"/>
  <c r="AB22" i="12"/>
  <c r="AE22" i="12"/>
  <c r="AG22" i="12"/>
  <c r="AI22" i="12"/>
  <c r="AL22" i="12"/>
  <c r="AN22" i="12"/>
  <c r="AP22" i="12"/>
  <c r="AS22" i="12"/>
  <c r="AU22" i="12"/>
  <c r="AW22" i="12"/>
  <c r="AZ22" i="12"/>
  <c r="BB22" i="12"/>
  <c r="BD22" i="12"/>
  <c r="D23" i="12"/>
  <c r="F23" i="12"/>
  <c r="I23" i="12"/>
  <c r="H23" i="12" s="1"/>
  <c r="K23" i="12"/>
  <c r="M23" i="12"/>
  <c r="P23" i="12"/>
  <c r="O23" i="12" s="1"/>
  <c r="R23" i="12"/>
  <c r="T23" i="12"/>
  <c r="W23" i="12"/>
  <c r="V23" i="12" s="1"/>
  <c r="Y23" i="12"/>
  <c r="AA23" i="12"/>
  <c r="AD23" i="12"/>
  <c r="AC23" i="12" s="1"/>
  <c r="AF23" i="12"/>
  <c r="AH23" i="12"/>
  <c r="AK23" i="12"/>
  <c r="AM23" i="12"/>
  <c r="AO23" i="12"/>
  <c r="AR23" i="12"/>
  <c r="AQ23" i="12" s="1"/>
  <c r="AT23" i="12"/>
  <c r="AV23" i="12"/>
  <c r="AY23" i="12"/>
  <c r="AX23" i="12" s="1"/>
  <c r="BA23" i="12"/>
  <c r="BC23" i="12"/>
  <c r="D24" i="12"/>
  <c r="F24" i="12"/>
  <c r="I24" i="12"/>
  <c r="H24" i="12" s="1"/>
  <c r="K24" i="12"/>
  <c r="M24" i="12"/>
  <c r="P24" i="12"/>
  <c r="O24" i="12" s="1"/>
  <c r="R24" i="12"/>
  <c r="T24" i="12"/>
  <c r="W24" i="12"/>
  <c r="V24" i="12" s="1"/>
  <c r="Y24" i="12"/>
  <c r="AA24" i="12"/>
  <c r="AD24" i="12"/>
  <c r="AC24" i="12" s="1"/>
  <c r="AF24" i="12"/>
  <c r="AH24" i="12"/>
  <c r="AK24" i="12"/>
  <c r="AJ24" i="12" s="1"/>
  <c r="AM24" i="12"/>
  <c r="AO24" i="12"/>
  <c r="AT24" i="12"/>
  <c r="AV24" i="12"/>
  <c r="AY24" i="12"/>
  <c r="BA24" i="12"/>
  <c r="BC24" i="12"/>
  <c r="X26" i="12"/>
  <c r="Z26" i="12"/>
  <c r="AB26" i="12"/>
  <c r="AB31" i="12" s="1"/>
  <c r="AE26" i="12"/>
  <c r="AG26" i="12"/>
  <c r="AI26" i="12"/>
  <c r="AL26" i="12"/>
  <c r="AL31" i="12" s="1"/>
  <c r="AN26" i="12"/>
  <c r="AP26" i="12"/>
  <c r="AS26" i="12"/>
  <c r="AS31" i="12" s="1"/>
  <c r="AU26" i="12"/>
  <c r="AU31" i="12" s="1"/>
  <c r="AW26" i="12"/>
  <c r="AW31" i="12" s="1"/>
  <c r="AZ26" i="12"/>
  <c r="BB26" i="12"/>
  <c r="BD26" i="12"/>
  <c r="D28" i="12"/>
  <c r="F28" i="12"/>
  <c r="I28" i="12"/>
  <c r="H28" i="12" s="1"/>
  <c r="K28" i="12"/>
  <c r="M28" i="12"/>
  <c r="P28" i="12"/>
  <c r="O28" i="12" s="1"/>
  <c r="R28" i="12"/>
  <c r="T28" i="12"/>
  <c r="W28" i="12"/>
  <c r="V28" i="12" s="1"/>
  <c r="Y28" i="12"/>
  <c r="AA28" i="12"/>
  <c r="AD28" i="12"/>
  <c r="AC28" i="12" s="1"/>
  <c r="AF28" i="12"/>
  <c r="AH28" i="12"/>
  <c r="AK28" i="12"/>
  <c r="AJ28" i="12" s="1"/>
  <c r="AM28" i="12"/>
  <c r="AR28" i="12"/>
  <c r="AQ28" i="12" s="1"/>
  <c r="AT28" i="12"/>
  <c r="AY28" i="12"/>
  <c r="AX28" i="12" s="1"/>
  <c r="BA28" i="12"/>
  <c r="BC28" i="12"/>
  <c r="D29" i="12"/>
  <c r="F29" i="12"/>
  <c r="I29" i="12"/>
  <c r="H29" i="12" s="1"/>
  <c r="K29" i="12"/>
  <c r="M29" i="12"/>
  <c r="P29" i="12"/>
  <c r="O29" i="12" s="1"/>
  <c r="Q29" i="12"/>
  <c r="R29" i="12" s="1"/>
  <c r="T29" i="12"/>
  <c r="W29" i="12"/>
  <c r="V29" i="12" s="1"/>
  <c r="X29" i="12"/>
  <c r="Z29" i="12"/>
  <c r="AA29" i="12" s="1"/>
  <c r="AD29" i="12"/>
  <c r="AC29" i="12" s="1"/>
  <c r="AF29" i="12"/>
  <c r="AH29" i="12"/>
  <c r="AK29" i="12"/>
  <c r="AJ29" i="12" s="1"/>
  <c r="AM29" i="12"/>
  <c r="AO29" i="12"/>
  <c r="AR29" i="12"/>
  <c r="AQ29" i="12" s="1"/>
  <c r="AT29" i="12"/>
  <c r="AV29" i="12"/>
  <c r="AY29" i="12"/>
  <c r="AX29" i="12" s="1"/>
  <c r="BA29" i="12"/>
  <c r="BC29" i="12"/>
  <c r="D30" i="12"/>
  <c r="F30" i="12"/>
  <c r="I30" i="12"/>
  <c r="K30" i="12"/>
  <c r="M30" i="12"/>
  <c r="P30" i="12"/>
  <c r="R30" i="12"/>
  <c r="T30" i="12"/>
  <c r="W30" i="12"/>
  <c r="Z30" i="12"/>
  <c r="AD30" i="12"/>
  <c r="AF30" i="12"/>
  <c r="AH30" i="12"/>
  <c r="AK30" i="12"/>
  <c r="AM30" i="12"/>
  <c r="AO30" i="12"/>
  <c r="AR30" i="12"/>
  <c r="AT30" i="12"/>
  <c r="AV30" i="12"/>
  <c r="AY30" i="12"/>
  <c r="BA30" i="12"/>
  <c r="BC30" i="12"/>
  <c r="I33" i="12"/>
  <c r="H33" i="12" s="1"/>
  <c r="K33" i="12"/>
  <c r="M33" i="12"/>
  <c r="P33" i="12"/>
  <c r="J46" i="17" s="1"/>
  <c r="R33" i="12"/>
  <c r="T33" i="12"/>
  <c r="W33" i="12"/>
  <c r="N46" i="17" s="1"/>
  <c r="Y33" i="12"/>
  <c r="AA33" i="12"/>
  <c r="AD33" i="12"/>
  <c r="R46" i="17" s="1"/>
  <c r="AF33" i="12"/>
  <c r="AH33" i="12"/>
  <c r="AK33" i="12"/>
  <c r="V46" i="17" s="1"/>
  <c r="AM33" i="12"/>
  <c r="AO33" i="12"/>
  <c r="AR33" i="12"/>
  <c r="Z46" i="17" s="1"/>
  <c r="AT33" i="12"/>
  <c r="AV33" i="12"/>
  <c r="AX33" i="12"/>
  <c r="BA33" i="12"/>
  <c r="BC33" i="12"/>
  <c r="I35" i="12"/>
  <c r="H35" i="12" s="1"/>
  <c r="K35" i="12"/>
  <c r="M35" i="12"/>
  <c r="P35" i="12"/>
  <c r="O35" i="12" s="1"/>
  <c r="R35" i="12"/>
  <c r="T35" i="12"/>
  <c r="W35" i="12"/>
  <c r="V35" i="12" s="1"/>
  <c r="Y35" i="12"/>
  <c r="AA35" i="12"/>
  <c r="AD35" i="12"/>
  <c r="AC35" i="12" s="1"/>
  <c r="AF35" i="12"/>
  <c r="AH35" i="12"/>
  <c r="AK35" i="12"/>
  <c r="AJ35" i="12" s="1"/>
  <c r="AM35" i="12"/>
  <c r="AO35" i="12"/>
  <c r="AR35" i="12"/>
  <c r="AQ35" i="12" s="1"/>
  <c r="AT35" i="12"/>
  <c r="AV35" i="12"/>
  <c r="AY35" i="12"/>
  <c r="AX35" i="12" s="1"/>
  <c r="BA35" i="12"/>
  <c r="BC35" i="12"/>
  <c r="C37" i="12"/>
  <c r="E37" i="12"/>
  <c r="G37" i="12"/>
  <c r="J37" i="12"/>
  <c r="L37" i="12"/>
  <c r="N37" i="12"/>
  <c r="Q37" i="12"/>
  <c r="S37" i="12"/>
  <c r="U37" i="12"/>
  <c r="X37" i="12"/>
  <c r="Z37" i="12"/>
  <c r="AB37" i="12"/>
  <c r="AE37" i="12"/>
  <c r="AG37" i="12"/>
  <c r="AI37" i="12"/>
  <c r="AL37" i="12"/>
  <c r="AN37" i="12"/>
  <c r="AP37" i="12"/>
  <c r="AS37" i="12"/>
  <c r="AU37" i="12"/>
  <c r="AW37" i="12"/>
  <c r="AZ37" i="12"/>
  <c r="BB37" i="12"/>
  <c r="BD37" i="12"/>
  <c r="I38" i="12"/>
  <c r="H38" i="12" s="1"/>
  <c r="K38" i="12"/>
  <c r="M38" i="12"/>
  <c r="P38" i="12"/>
  <c r="O38" i="12" s="1"/>
  <c r="R38" i="12"/>
  <c r="T38" i="12"/>
  <c r="W38" i="12"/>
  <c r="V38" i="12" s="1"/>
  <c r="Y38" i="12"/>
  <c r="AA38" i="12"/>
  <c r="AD38" i="12"/>
  <c r="AC38" i="12" s="1"/>
  <c r="AF38" i="12"/>
  <c r="AH38" i="12"/>
  <c r="AK38" i="12"/>
  <c r="AJ38" i="12" s="1"/>
  <c r="AM38" i="12"/>
  <c r="AO38" i="12"/>
  <c r="AR38" i="12"/>
  <c r="AQ38" i="12" s="1"/>
  <c r="AT38" i="12"/>
  <c r="AV38" i="12"/>
  <c r="AX38" i="12"/>
  <c r="BA38" i="12"/>
  <c r="BC38" i="12"/>
  <c r="I40" i="12"/>
  <c r="H40" i="12" s="1"/>
  <c r="K40" i="12"/>
  <c r="M40" i="12"/>
  <c r="P40" i="12"/>
  <c r="O40" i="12" s="1"/>
  <c r="R40" i="12"/>
  <c r="T40" i="12"/>
  <c r="W40" i="12"/>
  <c r="V40" i="12" s="1"/>
  <c r="Y40" i="12"/>
  <c r="AA40" i="12"/>
  <c r="AD40" i="12"/>
  <c r="AC40" i="12" s="1"/>
  <c r="AF40" i="12"/>
  <c r="AH40" i="12"/>
  <c r="AK40" i="12"/>
  <c r="AJ40" i="12" s="1"/>
  <c r="AM40" i="12"/>
  <c r="AO40" i="12"/>
  <c r="AR40" i="12"/>
  <c r="AQ40" i="12" s="1"/>
  <c r="AT40" i="12"/>
  <c r="AV40" i="12"/>
  <c r="AY40" i="12"/>
  <c r="AX40" i="12" s="1"/>
  <c r="BA40" i="12"/>
  <c r="BC40" i="12"/>
  <c r="C9" i="6"/>
  <c r="D9" i="6"/>
  <c r="E9" i="6"/>
  <c r="F9" i="6"/>
  <c r="G9" i="6"/>
  <c r="H9" i="6"/>
  <c r="I9" i="6"/>
  <c r="C12" i="6"/>
  <c r="D12" i="6"/>
  <c r="E12" i="6"/>
  <c r="F12" i="6"/>
  <c r="G12" i="6"/>
  <c r="H12" i="6"/>
  <c r="I12" i="6"/>
  <c r="C21" i="6"/>
  <c r="D21" i="6"/>
  <c r="D26" i="6" s="1"/>
  <c r="E21" i="6"/>
  <c r="E26" i="6" s="1"/>
  <c r="F14" i="6"/>
  <c r="G14" i="6"/>
  <c r="H14" i="6"/>
  <c r="I14" i="6"/>
  <c r="F22" i="6"/>
  <c r="G22" i="6"/>
  <c r="H22" i="6"/>
  <c r="I22" i="6"/>
  <c r="H24" i="6"/>
  <c r="C37" i="6"/>
  <c r="D37" i="6"/>
  <c r="E37" i="6"/>
  <c r="F37" i="6"/>
  <c r="F41" i="6" s="1"/>
  <c r="G37" i="6"/>
  <c r="G41" i="6" s="1"/>
  <c r="I37" i="6"/>
  <c r="I41" i="6" s="1"/>
  <c r="C53" i="6"/>
  <c r="D53" i="6"/>
  <c r="E53" i="6"/>
  <c r="F53" i="6"/>
  <c r="G53" i="6"/>
  <c r="H53" i="6"/>
  <c r="I53" i="6"/>
  <c r="C54" i="6"/>
  <c r="D54" i="6"/>
  <c r="E54" i="6"/>
  <c r="F54" i="6"/>
  <c r="G54" i="6"/>
  <c r="H54" i="6"/>
  <c r="I54" i="6"/>
  <c r="AF87" i="17" l="1"/>
  <c r="AE87" i="17"/>
  <c r="AC87" i="17"/>
  <c r="Y87" i="17"/>
  <c r="E79" i="11"/>
  <c r="AR7" i="15"/>
  <c r="AK26" i="12"/>
  <c r="AK31" i="12" s="1"/>
  <c r="Z47" i="17"/>
  <c r="AI32" i="12"/>
  <c r="AI41" i="12" s="1"/>
  <c r="AI42" i="12" s="1"/>
  <c r="AI31" i="12"/>
  <c r="AP32" i="12"/>
  <c r="AP34" i="12" s="1"/>
  <c r="Y45" i="17" s="1"/>
  <c r="Y48" i="17" s="1"/>
  <c r="AP31" i="12"/>
  <c r="AE32" i="12"/>
  <c r="AE34" i="12" s="1"/>
  <c r="S45" i="17" s="1"/>
  <c r="S48" i="17" s="1"/>
  <c r="AE31" i="12"/>
  <c r="AN32" i="12"/>
  <c r="AN41" i="12" s="1"/>
  <c r="AN42" i="12" s="1"/>
  <c r="AN31" i="12"/>
  <c r="J47" i="17"/>
  <c r="E32" i="12"/>
  <c r="E34" i="12" s="1"/>
  <c r="D45" i="17" s="1"/>
  <c r="D48" i="17" s="1"/>
  <c r="E31" i="12"/>
  <c r="BD32" i="12"/>
  <c r="BD34" i="12" s="1"/>
  <c r="AG45" i="17" s="1"/>
  <c r="BD31" i="12"/>
  <c r="X31" i="12"/>
  <c r="AG32" i="12"/>
  <c r="AG34" i="12" s="1"/>
  <c r="T45" i="17" s="1"/>
  <c r="T48" i="17" s="1"/>
  <c r="AG31" i="12"/>
  <c r="R47" i="17"/>
  <c r="BB32" i="12"/>
  <c r="BB31" i="12"/>
  <c r="AA30" i="12"/>
  <c r="Z31" i="12"/>
  <c r="AZ32" i="12"/>
  <c r="AZ34" i="12" s="1"/>
  <c r="AE45" i="17" s="1"/>
  <c r="AE48" i="17" s="1"/>
  <c r="AZ31" i="12"/>
  <c r="AD99" i="17"/>
  <c r="V99" i="17"/>
  <c r="R99" i="17"/>
  <c r="F99" i="17"/>
  <c r="Z99" i="17"/>
  <c r="J99" i="17"/>
  <c r="N99" i="17"/>
  <c r="AG8" i="17"/>
  <c r="AG11" i="17" s="1"/>
  <c r="AG15" i="17" s="1"/>
  <c r="AF8" i="17"/>
  <c r="AF11" i="17" s="1"/>
  <c r="AF15" i="17" s="1"/>
  <c r="AC8" i="17"/>
  <c r="AC11" i="17" s="1"/>
  <c r="AC15" i="17" s="1"/>
  <c r="AH56" i="17"/>
  <c r="AH68" i="17" s="1"/>
  <c r="E32" i="6"/>
  <c r="E41" i="6" s="1"/>
  <c r="E31" i="6"/>
  <c r="D32" i="6"/>
  <c r="D41" i="6" s="1"/>
  <c r="D31" i="6"/>
  <c r="D7" i="10"/>
  <c r="D25" i="10" s="1"/>
  <c r="C26" i="6"/>
  <c r="H26" i="6"/>
  <c r="H31" i="6" s="1"/>
  <c r="AC38" i="16"/>
  <c r="AC40" i="16" s="1"/>
  <c r="AC9" i="16" s="1"/>
  <c r="AC103" i="16"/>
  <c r="AC104" i="16" s="1"/>
  <c r="AC7" i="16" s="1"/>
  <c r="AD114" i="16"/>
  <c r="AD111" i="16"/>
  <c r="AD75" i="16"/>
  <c r="AD68" i="16"/>
  <c r="AD103" i="16"/>
  <c r="AD92" i="16"/>
  <c r="AD93" i="16" s="1"/>
  <c r="C44" i="6"/>
  <c r="C45" i="6" s="1"/>
  <c r="C46" i="6" s="1"/>
  <c r="AA106" i="16"/>
  <c r="I106" i="16"/>
  <c r="I9" i="1"/>
  <c r="I48" i="6" s="1"/>
  <c r="I49" i="6" s="1"/>
  <c r="J21" i="11"/>
  <c r="X26" i="16"/>
  <c r="AB106" i="16"/>
  <c r="D76" i="16"/>
  <c r="D7" i="16" s="1"/>
  <c r="AH37" i="12"/>
  <c r="AD16" i="16"/>
  <c r="R12" i="12"/>
  <c r="BA22" i="12"/>
  <c r="N25" i="15"/>
  <c r="G106" i="16"/>
  <c r="F114" i="16"/>
  <c r="AR15" i="13"/>
  <c r="C106" i="16"/>
  <c r="E22" i="12"/>
  <c r="Z65" i="17"/>
  <c r="F50" i="17"/>
  <c r="G26" i="12"/>
  <c r="G31" i="12" s="1"/>
  <c r="AF93" i="16"/>
  <c r="AF106" i="16" s="1"/>
  <c r="AC26" i="16"/>
  <c r="AM9" i="12"/>
  <c r="AH9" i="12"/>
  <c r="G76" i="1"/>
  <c r="G7" i="1" s="1"/>
  <c r="K115" i="16"/>
  <c r="K32" i="16" s="1"/>
  <c r="M25" i="16"/>
  <c r="M27" i="16" s="1"/>
  <c r="G22" i="12"/>
  <c r="C22" i="12"/>
  <c r="Z57" i="16"/>
  <c r="Q40" i="16"/>
  <c r="Q9" i="16" s="1"/>
  <c r="R37" i="12"/>
  <c r="U14" i="12"/>
  <c r="K21" i="12"/>
  <c r="K26" i="12" s="1"/>
  <c r="K31" i="12" s="1"/>
  <c r="U11" i="17"/>
  <c r="U15" i="17" s="1"/>
  <c r="U18" i="17" s="1"/>
  <c r="U27" i="17" s="1"/>
  <c r="V61" i="16"/>
  <c r="AE11" i="17"/>
  <c r="AE15" i="17" s="1"/>
  <c r="AV18" i="12"/>
  <c r="D12" i="12"/>
  <c r="K18" i="12"/>
  <c r="E26" i="1"/>
  <c r="E63" i="16"/>
  <c r="Q21" i="16"/>
  <c r="Q15" i="16" s="1"/>
  <c r="AT22" i="12"/>
  <c r="D106" i="16"/>
  <c r="H106" i="16"/>
  <c r="D76" i="1"/>
  <c r="D7" i="1" s="1"/>
  <c r="AF18" i="12"/>
  <c r="V8" i="17"/>
  <c r="V11" i="17" s="1"/>
  <c r="I15" i="13"/>
  <c r="J61" i="16"/>
  <c r="AA18" i="12"/>
  <c r="AV12" i="12"/>
  <c r="AT12" i="12"/>
  <c r="AE25" i="16"/>
  <c r="G76" i="16"/>
  <c r="G8" i="16" s="1"/>
  <c r="E76" i="1"/>
  <c r="Q26" i="12"/>
  <c r="Q31" i="12" s="1"/>
  <c r="AT18" i="12"/>
  <c r="Q76" i="16"/>
  <c r="K12" i="12"/>
  <c r="N72" i="17"/>
  <c r="AH22" i="12"/>
  <c r="C26" i="12"/>
  <c r="S22" i="12"/>
  <c r="F61" i="16"/>
  <c r="I11" i="11"/>
  <c r="AB32" i="12"/>
  <c r="AB34" i="12" s="1"/>
  <c r="Q45" i="17" s="1"/>
  <c r="Q48" i="17" s="1"/>
  <c r="E25" i="15"/>
  <c r="AF12" i="12"/>
  <c r="C22" i="6"/>
  <c r="BC37" i="12"/>
  <c r="V37" i="12"/>
  <c r="Q22" i="12"/>
  <c r="F21" i="12"/>
  <c r="M7" i="15" s="1"/>
  <c r="V16" i="16"/>
  <c r="D21" i="16"/>
  <c r="D15" i="16" s="1"/>
  <c r="J68" i="16"/>
  <c r="T11" i="17"/>
  <c r="T15" i="17" s="1"/>
  <c r="T18" i="17" s="1"/>
  <c r="T27" i="17" s="1"/>
  <c r="J92" i="16"/>
  <c r="J93" i="16" s="1"/>
  <c r="K35" i="16"/>
  <c r="P115" i="16"/>
  <c r="P32" i="16" s="1"/>
  <c r="AG76" i="16"/>
  <c r="N75" i="16"/>
  <c r="R62" i="17"/>
  <c r="C14" i="6"/>
  <c r="U25" i="15"/>
  <c r="D18" i="12"/>
  <c r="R57" i="16"/>
  <c r="O115" i="16"/>
  <c r="O32" i="16" s="1"/>
  <c r="J114" i="16"/>
  <c r="N16" i="16"/>
  <c r="AR22" i="12"/>
  <c r="R29" i="16"/>
  <c r="I76" i="16"/>
  <c r="I8" i="16" s="1"/>
  <c r="O76" i="16"/>
  <c r="AB11" i="17"/>
  <c r="S115" i="16"/>
  <c r="S32" i="16" s="1"/>
  <c r="J57" i="16"/>
  <c r="G36" i="1"/>
  <c r="S26" i="12"/>
  <c r="S31" i="12" s="1"/>
  <c r="C115" i="16"/>
  <c r="C32" i="16" s="1"/>
  <c r="C41" i="16" s="1"/>
  <c r="AC25" i="16"/>
  <c r="AD65" i="17"/>
  <c r="Z25" i="17"/>
  <c r="AO37" i="12"/>
  <c r="C76" i="1"/>
  <c r="C8" i="1" s="1"/>
  <c r="R61" i="16"/>
  <c r="Y35" i="16"/>
  <c r="W115" i="16"/>
  <c r="W32" i="16" s="1"/>
  <c r="D25" i="16"/>
  <c r="D27" i="16" s="1"/>
  <c r="D16" i="16"/>
  <c r="W106" i="16"/>
  <c r="U104" i="16"/>
  <c r="U106" i="16" s="1"/>
  <c r="L76" i="16"/>
  <c r="J75" i="16"/>
  <c r="BA37" i="12"/>
  <c r="AT9" i="12"/>
  <c r="E63" i="1"/>
  <c r="G115" i="1"/>
  <c r="G32" i="1" s="1"/>
  <c r="G41" i="1" s="1"/>
  <c r="AG38" i="16"/>
  <c r="AG40" i="16" s="1"/>
  <c r="AG36" i="16" s="1"/>
  <c r="AD61" i="16"/>
  <c r="AD63" i="16" s="1"/>
  <c r="AB40" i="16"/>
  <c r="AB36" i="16" s="1"/>
  <c r="V57" i="16"/>
  <c r="N38" i="16"/>
  <c r="N40" i="16" s="1"/>
  <c r="Y76" i="16"/>
  <c r="Y7" i="16" s="1"/>
  <c r="R65" i="17"/>
  <c r="D63" i="1"/>
  <c r="F63" i="1"/>
  <c r="T35" i="16"/>
  <c r="S25" i="16"/>
  <c r="V92" i="16"/>
  <c r="V93" i="16" s="1"/>
  <c r="N57" i="16"/>
  <c r="P63" i="16"/>
  <c r="Y115" i="16"/>
  <c r="Y32" i="16" s="1"/>
  <c r="X25" i="16"/>
  <c r="AA25" i="16"/>
  <c r="H25" i="16"/>
  <c r="H27" i="16" s="1"/>
  <c r="L21" i="16"/>
  <c r="L15" i="16" s="1"/>
  <c r="AF38" i="16"/>
  <c r="AF40" i="16" s="1"/>
  <c r="AV37" i="12"/>
  <c r="AK15" i="13"/>
  <c r="Y63" i="16"/>
  <c r="AM37" i="12"/>
  <c r="E115" i="1"/>
  <c r="E32" i="1" s="1"/>
  <c r="E41" i="1" s="1"/>
  <c r="X63" i="16"/>
  <c r="M63" i="16"/>
  <c r="E25" i="16"/>
  <c r="E27" i="16" s="1"/>
  <c r="R20" i="16"/>
  <c r="U40" i="16"/>
  <c r="U9" i="16" s="1"/>
  <c r="P40" i="16"/>
  <c r="P9" i="16" s="1"/>
  <c r="T76" i="16"/>
  <c r="R103" i="16"/>
  <c r="R104" i="16" s="1"/>
  <c r="AH18" i="12"/>
  <c r="G25" i="1"/>
  <c r="G27" i="1" s="1"/>
  <c r="W63" i="16"/>
  <c r="P25" i="16"/>
  <c r="P27" i="16" s="1"/>
  <c r="P104" i="16"/>
  <c r="P106" i="16" s="1"/>
  <c r="L104" i="16"/>
  <c r="L106" i="16" s="1"/>
  <c r="AF26" i="16"/>
  <c r="AF57" i="16"/>
  <c r="AF63" i="16" s="1"/>
  <c r="L9" i="16"/>
  <c r="L36" i="16"/>
  <c r="AC115" i="16"/>
  <c r="AC32" i="16" s="1"/>
  <c r="C25" i="16"/>
  <c r="C27" i="16" s="1"/>
  <c r="AA21" i="16"/>
  <c r="AA15" i="16" s="1"/>
  <c r="S21" i="16"/>
  <c r="S15" i="16" s="1"/>
  <c r="S104" i="16"/>
  <c r="S106" i="16" s="1"/>
  <c r="AA26" i="12"/>
  <c r="Y106" i="16"/>
  <c r="Z111" i="16"/>
  <c r="N29" i="16"/>
  <c r="F20" i="16"/>
  <c r="F21" i="16" s="1"/>
  <c r="F15" i="16" s="1"/>
  <c r="P76" i="16"/>
  <c r="E76" i="16"/>
  <c r="E8" i="16" s="1"/>
  <c r="J83" i="17"/>
  <c r="J87" i="17" s="1"/>
  <c r="Y37" i="12"/>
  <c r="AM18" i="12"/>
  <c r="BC22" i="12"/>
  <c r="T21" i="12"/>
  <c r="T22" i="12" s="1"/>
  <c r="C106" i="1"/>
  <c r="G63" i="1"/>
  <c r="E106" i="16"/>
  <c r="U63" i="16"/>
  <c r="X35" i="16"/>
  <c r="AG115" i="16"/>
  <c r="AG32" i="16" s="1"/>
  <c r="AB115" i="16"/>
  <c r="Q115" i="16"/>
  <c r="Q32" i="16" s="1"/>
  <c r="AG56" i="16"/>
  <c r="L24" i="16"/>
  <c r="L25" i="16" s="1"/>
  <c r="L27" i="16" s="1"/>
  <c r="AC21" i="16"/>
  <c r="AC15" i="16" s="1"/>
  <c r="X40" i="16"/>
  <c r="V103" i="16"/>
  <c r="V104" i="16" s="1"/>
  <c r="V68" i="16"/>
  <c r="F11" i="11"/>
  <c r="F15" i="11" s="1"/>
  <c r="F18" i="11" s="1"/>
  <c r="F22" i="11" s="1"/>
  <c r="N50" i="17"/>
  <c r="U26" i="12"/>
  <c r="U31" i="12" s="1"/>
  <c r="AT26" i="12"/>
  <c r="AT31" i="12" s="1"/>
  <c r="U22" i="12"/>
  <c r="U24" i="16"/>
  <c r="U25" i="16" s="1"/>
  <c r="U27" i="16" s="1"/>
  <c r="K25" i="16"/>
  <c r="K27" i="16" s="1"/>
  <c r="Z61" i="16"/>
  <c r="BA18" i="12"/>
  <c r="S25" i="15"/>
  <c r="D21" i="1"/>
  <c r="D15" i="1" s="1"/>
  <c r="G63" i="16"/>
  <c r="AF115" i="16"/>
  <c r="AF32" i="16" s="1"/>
  <c r="H115" i="16"/>
  <c r="H32" i="16" s="1"/>
  <c r="H41" i="16" s="1"/>
  <c r="W26" i="16"/>
  <c r="S26" i="16"/>
  <c r="T25" i="16"/>
  <c r="T27" i="16" s="1"/>
  <c r="AF25" i="16"/>
  <c r="W25" i="16"/>
  <c r="O25" i="16"/>
  <c r="O27" i="16" s="1"/>
  <c r="G25" i="16"/>
  <c r="G27" i="16" s="1"/>
  <c r="Z20" i="16"/>
  <c r="G21" i="16"/>
  <c r="AE40" i="16"/>
  <c r="AE36" i="16" s="1"/>
  <c r="O40" i="16"/>
  <c r="O36" i="16" s="1"/>
  <c r="T104" i="16"/>
  <c r="T106" i="16" s="1"/>
  <c r="R25" i="16"/>
  <c r="N68" i="16"/>
  <c r="K104" i="16"/>
  <c r="K106" i="16" s="1"/>
  <c r="F68" i="16"/>
  <c r="H15" i="17"/>
  <c r="H18" i="17" s="1"/>
  <c r="H27" i="17" s="1"/>
  <c r="AE21" i="16"/>
  <c r="AE15" i="16" s="1"/>
  <c r="Z75" i="16"/>
  <c r="AG48" i="17"/>
  <c r="J25" i="15"/>
  <c r="Q35" i="16"/>
  <c r="AM12" i="12"/>
  <c r="AE63" i="16"/>
  <c r="W35" i="16"/>
  <c r="X106" i="16"/>
  <c r="AY26" i="12"/>
  <c r="AY31" i="12" s="1"/>
  <c r="N26" i="12"/>
  <c r="N31" i="12" s="1"/>
  <c r="N22" i="12"/>
  <c r="P37" i="12"/>
  <c r="AS32" i="12"/>
  <c r="AS34" i="12" s="1"/>
  <c r="AA45" i="17" s="1"/>
  <c r="AA48" i="17" s="1"/>
  <c r="L26" i="12"/>
  <c r="AY37" i="12"/>
  <c r="L22" i="12"/>
  <c r="BA12" i="12"/>
  <c r="AH12" i="12"/>
  <c r="H21" i="1"/>
  <c r="H15" i="1" s="1"/>
  <c r="O63" i="16"/>
  <c r="V111" i="16"/>
  <c r="AF21" i="16"/>
  <c r="AF15" i="16" s="1"/>
  <c r="X21" i="16"/>
  <c r="X15" i="16" s="1"/>
  <c r="V20" i="16"/>
  <c r="V21" i="16" s="1"/>
  <c r="G15" i="17"/>
  <c r="G18" i="17" s="1"/>
  <c r="G27" i="17" s="1"/>
  <c r="L11" i="17"/>
  <c r="L15" i="17" s="1"/>
  <c r="L18" i="17" s="1"/>
  <c r="L27" i="17" s="1"/>
  <c r="D115" i="16"/>
  <c r="AB25" i="16"/>
  <c r="AB27" i="16" s="1"/>
  <c r="J103" i="16"/>
  <c r="J104" i="16" s="1"/>
  <c r="Z72" i="17"/>
  <c r="Z87" i="17" s="1"/>
  <c r="H37" i="12"/>
  <c r="AD15" i="13"/>
  <c r="H63" i="1"/>
  <c r="AC78" i="16"/>
  <c r="T115" i="16"/>
  <c r="T32" i="16" s="1"/>
  <c r="AF76" i="16"/>
  <c r="AF7" i="16" s="1"/>
  <c r="O11" i="17"/>
  <c r="O15" i="17" s="1"/>
  <c r="O18" i="17" s="1"/>
  <c r="O27" i="17" s="1"/>
  <c r="AT37" i="12"/>
  <c r="BC18" i="12"/>
  <c r="AK18" i="12"/>
  <c r="T12" i="12"/>
  <c r="AF9" i="12"/>
  <c r="M9" i="12"/>
  <c r="H63" i="16"/>
  <c r="T18" i="12"/>
  <c r="AA37" i="12"/>
  <c r="AL32" i="12"/>
  <c r="AL41" i="12" s="1"/>
  <c r="AL42" i="12" s="1"/>
  <c r="J26" i="12"/>
  <c r="J31" i="12" s="1"/>
  <c r="AH26" i="12"/>
  <c r="AH32" i="12" s="1"/>
  <c r="V18" i="12"/>
  <c r="AK12" i="12"/>
  <c r="R9" i="12"/>
  <c r="F9" i="12"/>
  <c r="M15" i="15"/>
  <c r="G106" i="1"/>
  <c r="I78" i="1"/>
  <c r="C63" i="1"/>
  <c r="AE106" i="16"/>
  <c r="Q63" i="16"/>
  <c r="I63" i="16"/>
  <c r="R33" i="16"/>
  <c r="R35" i="16" s="1"/>
  <c r="Z114" i="16"/>
  <c r="M115" i="16"/>
  <c r="M32" i="16" s="1"/>
  <c r="M41" i="16" s="1"/>
  <c r="E115" i="16"/>
  <c r="E32" i="16" s="1"/>
  <c r="E41" i="16" s="1"/>
  <c r="AE26" i="16"/>
  <c r="N92" i="16"/>
  <c r="N93" i="16" s="1"/>
  <c r="I21" i="16"/>
  <c r="I15" i="16" s="1"/>
  <c r="F57" i="16"/>
  <c r="C76" i="16"/>
  <c r="C7" i="16" s="1"/>
  <c r="E15" i="17"/>
  <c r="E18" i="17" s="1"/>
  <c r="E27" i="17" s="1"/>
  <c r="W11" i="17"/>
  <c r="W15" i="17" s="1"/>
  <c r="W18" i="17" s="1"/>
  <c r="W27" i="17" s="1"/>
  <c r="R8" i="17"/>
  <c r="F16" i="16"/>
  <c r="AE76" i="16"/>
  <c r="AE7" i="16" s="1"/>
  <c r="Y18" i="12"/>
  <c r="AD26" i="12"/>
  <c r="AD31" i="12" s="1"/>
  <c r="M21" i="12"/>
  <c r="M26" i="12" s="1"/>
  <c r="M31" i="12" s="1"/>
  <c r="D21" i="12"/>
  <c r="K7" i="15" s="1"/>
  <c r="Y12" i="12"/>
  <c r="F12" i="12"/>
  <c r="I93" i="1"/>
  <c r="F115" i="1"/>
  <c r="F32" i="1" s="1"/>
  <c r="F41" i="1" s="1"/>
  <c r="G21" i="1"/>
  <c r="G15" i="1" s="1"/>
  <c r="E21" i="1"/>
  <c r="E15" i="1" s="1"/>
  <c r="C21" i="1"/>
  <c r="C15" i="1" s="1"/>
  <c r="R114" i="16"/>
  <c r="N114" i="16"/>
  <c r="V29" i="16"/>
  <c r="J26" i="16"/>
  <c r="T21" i="16"/>
  <c r="O21" i="16"/>
  <c r="O15" i="16" s="1"/>
  <c r="W40" i="16"/>
  <c r="F92" i="16"/>
  <c r="F93" i="16" s="1"/>
  <c r="R68" i="16"/>
  <c r="F75" i="16"/>
  <c r="Z62" i="17"/>
  <c r="Z8" i="17"/>
  <c r="Z11" i="17" s="1"/>
  <c r="G34" i="6"/>
  <c r="G37" i="11" s="1"/>
  <c r="G40" i="11" s="1"/>
  <c r="AX24" i="12"/>
  <c r="AX37" i="12" s="1"/>
  <c r="AJ21" i="12"/>
  <c r="AQ7" i="15" s="1"/>
  <c r="AQ25" i="15" s="1"/>
  <c r="Q14" i="12"/>
  <c r="L14" i="12"/>
  <c r="G14" i="12"/>
  <c r="C14" i="12"/>
  <c r="BC9" i="12"/>
  <c r="N33" i="16"/>
  <c r="N35" i="16" s="1"/>
  <c r="AE115" i="16"/>
  <c r="AE32" i="16" s="1"/>
  <c r="AA115" i="16"/>
  <c r="L115" i="16"/>
  <c r="L32" i="16" s="1"/>
  <c r="L41" i="16" s="1"/>
  <c r="J111" i="16"/>
  <c r="AA16" i="16"/>
  <c r="Z38" i="16"/>
  <c r="Z40" i="16" s="1"/>
  <c r="T40" i="16"/>
  <c r="W76" i="16"/>
  <c r="U76" i="16"/>
  <c r="R75" i="16"/>
  <c r="O104" i="16"/>
  <c r="O106" i="16" s="1"/>
  <c r="M104" i="16"/>
  <c r="M106" i="16" s="1"/>
  <c r="H76" i="16"/>
  <c r="H8" i="16" s="1"/>
  <c r="N83" i="17"/>
  <c r="K11" i="17"/>
  <c r="K15" i="17" s="1"/>
  <c r="K18" i="17" s="1"/>
  <c r="K27" i="17" s="1"/>
  <c r="AJ16" i="12"/>
  <c r="AJ18" i="12" s="1"/>
  <c r="AR25" i="15"/>
  <c r="H25" i="1"/>
  <c r="H27" i="1" s="1"/>
  <c r="U35" i="16"/>
  <c r="G115" i="16"/>
  <c r="G32" i="16" s="1"/>
  <c r="G41" i="16" s="1"/>
  <c r="O16" i="16"/>
  <c r="Y21" i="16"/>
  <c r="Y15" i="16" s="1"/>
  <c r="M76" i="16"/>
  <c r="M11" i="17"/>
  <c r="M15" i="17" s="1"/>
  <c r="M18" i="17" s="1"/>
  <c r="M27" i="17" s="1"/>
  <c r="I15" i="17"/>
  <c r="I18" i="17" s="1"/>
  <c r="I27" i="17" s="1"/>
  <c r="Y9" i="12"/>
  <c r="AY15" i="13"/>
  <c r="X16" i="16"/>
  <c r="V65" i="17"/>
  <c r="AD62" i="17"/>
  <c r="D15" i="17"/>
  <c r="D18" i="17" s="1"/>
  <c r="D27" i="17" s="1"/>
  <c r="S11" i="17"/>
  <c r="S15" i="17" s="1"/>
  <c r="S18" i="17" s="1"/>
  <c r="S27" i="17" s="1"/>
  <c r="AF37" i="12"/>
  <c r="AV9" i="12"/>
  <c r="H115" i="1"/>
  <c r="H32" i="1" s="1"/>
  <c r="H41" i="1" s="1"/>
  <c r="D115" i="1"/>
  <c r="D32" i="1" s="1"/>
  <c r="D41" i="1" s="1"/>
  <c r="T63" i="16"/>
  <c r="L63" i="16"/>
  <c r="D63" i="16"/>
  <c r="O35" i="16"/>
  <c r="I115" i="16"/>
  <c r="I32" i="16" s="1"/>
  <c r="I41" i="16" s="1"/>
  <c r="S40" i="16"/>
  <c r="V75" i="16"/>
  <c r="K76" i="16"/>
  <c r="V72" i="17"/>
  <c r="V87" i="17" s="1"/>
  <c r="Q11" i="17"/>
  <c r="Q15" i="17" s="1"/>
  <c r="Q18" i="17" s="1"/>
  <c r="Q27" i="17" s="1"/>
  <c r="AU32" i="12"/>
  <c r="AU34" i="12" s="1"/>
  <c r="AB45" i="17" s="1"/>
  <c r="AB48" i="17" s="1"/>
  <c r="Y26" i="12"/>
  <c r="S14" i="12"/>
  <c r="N14" i="12"/>
  <c r="F18" i="12"/>
  <c r="BA9" i="12"/>
  <c r="D9" i="12"/>
  <c r="D25" i="1"/>
  <c r="D27" i="1" s="1"/>
  <c r="C16" i="1"/>
  <c r="N61" i="16"/>
  <c r="AB63" i="16"/>
  <c r="S63" i="16"/>
  <c r="K63" i="16"/>
  <c r="C63" i="16"/>
  <c r="X115" i="16"/>
  <c r="X32" i="16" s="1"/>
  <c r="AG25" i="16"/>
  <c r="Y25" i="16"/>
  <c r="Y27" i="16" s="1"/>
  <c r="Q25" i="16"/>
  <c r="Q27" i="16" s="1"/>
  <c r="I25" i="16"/>
  <c r="I27" i="16" s="1"/>
  <c r="AF16" i="16"/>
  <c r="N20" i="16"/>
  <c r="N21" i="16" s="1"/>
  <c r="N15" i="16" s="1"/>
  <c r="AA40" i="16"/>
  <c r="AA9" i="16" s="1"/>
  <c r="V38" i="16"/>
  <c r="V40" i="16" s="1"/>
  <c r="V9" i="16" s="1"/>
  <c r="S76" i="16"/>
  <c r="Q104" i="16"/>
  <c r="Q106" i="16" s="1"/>
  <c r="J25" i="16"/>
  <c r="N65" i="17"/>
  <c r="J50" i="17"/>
  <c r="AA11" i="17"/>
  <c r="P11" i="17"/>
  <c r="P15" i="17" s="1"/>
  <c r="P18" i="17" s="1"/>
  <c r="P27" i="17" s="1"/>
  <c r="C25" i="15"/>
  <c r="H9" i="12"/>
  <c r="I25" i="1"/>
  <c r="F76" i="1"/>
  <c r="F7" i="1" s="1"/>
  <c r="V33" i="16"/>
  <c r="V35" i="16" s="1"/>
  <c r="E21" i="16"/>
  <c r="E15" i="16" s="1"/>
  <c r="AB76" i="16"/>
  <c r="AB8" i="16" s="1"/>
  <c r="AX18" i="12"/>
  <c r="AX9" i="12"/>
  <c r="W21" i="12"/>
  <c r="AD7" i="15" s="1"/>
  <c r="AD25" i="15" s="1"/>
  <c r="W37" i="12"/>
  <c r="O37" i="12"/>
  <c r="AY9" i="12"/>
  <c r="I37" i="12"/>
  <c r="AD22" i="12"/>
  <c r="AK9" i="12"/>
  <c r="AY22" i="12"/>
  <c r="AR14" i="12"/>
  <c r="I9" i="12"/>
  <c r="D22" i="6"/>
  <c r="AK22" i="12"/>
  <c r="AY18" i="12"/>
  <c r="AD37" i="12"/>
  <c r="P18" i="12"/>
  <c r="AR12" i="12"/>
  <c r="W9" i="12"/>
  <c r="AQ11" i="12"/>
  <c r="AD72" i="17"/>
  <c r="AD87" i="17" s="1"/>
  <c r="I44" i="6"/>
  <c r="H11" i="11"/>
  <c r="H15" i="11" s="1"/>
  <c r="H18" i="11" s="1"/>
  <c r="H22" i="11" s="1"/>
  <c r="V62" i="17"/>
  <c r="F11" i="17"/>
  <c r="F15" i="17" s="1"/>
  <c r="F18" i="17" s="1"/>
  <c r="F27" i="17" s="1"/>
  <c r="G11" i="11"/>
  <c r="G15" i="11" s="1"/>
  <c r="G18" i="11" s="1"/>
  <c r="G22" i="11" s="1"/>
  <c r="D11" i="11"/>
  <c r="D15" i="11" s="1"/>
  <c r="D18" i="11" s="1"/>
  <c r="D22" i="11" s="1"/>
  <c r="F83" i="17"/>
  <c r="F87" i="17" s="1"/>
  <c r="J8" i="17"/>
  <c r="C11" i="11"/>
  <c r="C15" i="11" s="1"/>
  <c r="C18" i="11" s="1"/>
  <c r="C22" i="11" s="1"/>
  <c r="C28" i="11" s="1"/>
  <c r="N62" i="17"/>
  <c r="F44" i="6"/>
  <c r="F45" i="6" s="1"/>
  <c r="F46" i="6" s="1"/>
  <c r="N8" i="17"/>
  <c r="N11" i="17" s="1"/>
  <c r="N15" i="17" s="1"/>
  <c r="AN34" i="12"/>
  <c r="X45" i="17" s="1"/>
  <c r="X48" i="17" s="1"/>
  <c r="BB34" i="12"/>
  <c r="AF45" i="17" s="1"/>
  <c r="AF48" i="17" s="1"/>
  <c r="BB41" i="12"/>
  <c r="BB42" i="12" s="1"/>
  <c r="BA26" i="12"/>
  <c r="BA31" i="12" s="1"/>
  <c r="M37" i="12"/>
  <c r="AO26" i="12"/>
  <c r="AO32" i="12" s="1"/>
  <c r="K37" i="12"/>
  <c r="D106" i="1"/>
  <c r="H106" i="1"/>
  <c r="F106" i="1"/>
  <c r="AD25" i="16"/>
  <c r="N111" i="16"/>
  <c r="J29" i="16"/>
  <c r="V26" i="16"/>
  <c r="R26" i="16"/>
  <c r="N103" i="16"/>
  <c r="F103" i="16"/>
  <c r="F104" i="16" s="1"/>
  <c r="F38" i="16"/>
  <c r="F40" i="16" s="1"/>
  <c r="F36" i="16" s="1"/>
  <c r="F9" i="16" s="1"/>
  <c r="R92" i="16"/>
  <c r="R93" i="16" s="1"/>
  <c r="Z92" i="16"/>
  <c r="Z93" i="16" s="1"/>
  <c r="C115" i="1"/>
  <c r="C32" i="1" s="1"/>
  <c r="C41" i="1" s="1"/>
  <c r="I8" i="1"/>
  <c r="F29" i="16"/>
  <c r="AD38" i="16"/>
  <c r="AD40" i="16" s="1"/>
  <c r="AD36" i="16" s="1"/>
  <c r="Z103" i="16"/>
  <c r="Z104" i="16" s="1"/>
  <c r="F111" i="16"/>
  <c r="K40" i="16"/>
  <c r="F36" i="1"/>
  <c r="P35" i="16"/>
  <c r="AR24" i="12"/>
  <c r="AR26" i="12" s="1"/>
  <c r="H37" i="6"/>
  <c r="T37" i="12"/>
  <c r="F7" i="10"/>
  <c r="F25" i="10" s="1"/>
  <c r="E22" i="6"/>
  <c r="E14" i="6"/>
  <c r="N47" i="17"/>
  <c r="V30" i="12"/>
  <c r="AJ23" i="12"/>
  <c r="AK37" i="12"/>
  <c r="R21" i="12"/>
  <c r="R18" i="12"/>
  <c r="D14" i="6"/>
  <c r="E7" i="10"/>
  <c r="E25" i="10" s="1"/>
  <c r="V47" i="17"/>
  <c r="AJ30" i="12"/>
  <c r="Y29" i="12"/>
  <c r="X32" i="12"/>
  <c r="AC37" i="12"/>
  <c r="AM7" i="15"/>
  <c r="AM25" i="15" s="1"/>
  <c r="AF14" i="12"/>
  <c r="AF22" i="12"/>
  <c r="AF26" i="12"/>
  <c r="AF32" i="12" s="1"/>
  <c r="AO12" i="12"/>
  <c r="AO9" i="12"/>
  <c r="AD47" i="17"/>
  <c r="AX30" i="12"/>
  <c r="AW32" i="12"/>
  <c r="BC7" i="15"/>
  <c r="BC25" i="15" s="1"/>
  <c r="AV14" i="12"/>
  <c r="AV22" i="12"/>
  <c r="AV26" i="12"/>
  <c r="AV31" i="12" s="1"/>
  <c r="AT7" i="15"/>
  <c r="AT25" i="15" s="1"/>
  <c r="AM26" i="12"/>
  <c r="AM31" i="12" s="1"/>
  <c r="AM14" i="12"/>
  <c r="AM22" i="12"/>
  <c r="I42" i="6"/>
  <c r="I34" i="6"/>
  <c r="I37" i="11" s="1"/>
  <c r="I40" i="11" s="1"/>
  <c r="H30" i="12"/>
  <c r="AJ33" i="12"/>
  <c r="V33" i="12"/>
  <c r="BC26" i="12"/>
  <c r="BC32" i="12" s="1"/>
  <c r="BC14" i="12"/>
  <c r="G25" i="15"/>
  <c r="V9" i="12"/>
  <c r="BA7" i="15"/>
  <c r="BA25" i="15" s="1"/>
  <c r="AT14" i="12"/>
  <c r="V21" i="12"/>
  <c r="Q7" i="15"/>
  <c r="Q25" i="15" s="1"/>
  <c r="J14" i="12"/>
  <c r="AJ9" i="12"/>
  <c r="Z32" i="12"/>
  <c r="AQ30" i="12"/>
  <c r="AC30" i="12"/>
  <c r="O30" i="12"/>
  <c r="M18" i="12"/>
  <c r="BA14" i="12"/>
  <c r="AK7" i="15"/>
  <c r="AK25" i="15" s="1"/>
  <c r="AC21" i="12"/>
  <c r="AD14" i="12"/>
  <c r="M12" i="12"/>
  <c r="J7" i="17"/>
  <c r="P12" i="12"/>
  <c r="T9" i="12"/>
  <c r="AR18" i="12"/>
  <c r="R7" i="17"/>
  <c r="AD12" i="12"/>
  <c r="AQ33" i="12"/>
  <c r="AC33" i="12"/>
  <c r="O33" i="12"/>
  <c r="AC16" i="12"/>
  <c r="AD18" i="12"/>
  <c r="AY7" i="15"/>
  <c r="AY25" i="15" s="1"/>
  <c r="AQ21" i="12"/>
  <c r="AA14" i="12"/>
  <c r="AH7" i="15"/>
  <c r="AH25" i="15" s="1"/>
  <c r="P15" i="15"/>
  <c r="O15" i="15" s="1"/>
  <c r="O19" i="12"/>
  <c r="O21" i="12" s="1"/>
  <c r="P21" i="12"/>
  <c r="L7" i="15"/>
  <c r="L25" i="15" s="1"/>
  <c r="E14" i="12"/>
  <c r="O7" i="12"/>
  <c r="O18" i="12" s="1"/>
  <c r="P9" i="12"/>
  <c r="P47" i="17"/>
  <c r="Y30" i="12"/>
  <c r="AX21" i="12"/>
  <c r="BE7" i="15" s="1"/>
  <c r="BE25" i="15" s="1"/>
  <c r="AY14" i="12"/>
  <c r="AO7" i="15"/>
  <c r="AO25" i="15" s="1"/>
  <c r="AH14" i="12"/>
  <c r="AC7" i="12"/>
  <c r="AC9" i="12" s="1"/>
  <c r="AD9" i="12"/>
  <c r="AA22" i="12"/>
  <c r="AO18" i="12"/>
  <c r="AV7" i="15"/>
  <c r="AV25" i="15" s="1"/>
  <c r="AO22" i="12"/>
  <c r="AO14" i="12"/>
  <c r="AF7" i="15"/>
  <c r="AF25" i="15" s="1"/>
  <c r="Y22" i="12"/>
  <c r="Y14" i="12"/>
  <c r="H16" i="12"/>
  <c r="I18" i="12"/>
  <c r="I21" i="12"/>
  <c r="BC12" i="12"/>
  <c r="AQ7" i="12"/>
  <c r="AQ18" i="12" s="1"/>
  <c r="AR9" i="12"/>
  <c r="AA9" i="12"/>
  <c r="AA12" i="12"/>
  <c r="K9" i="12"/>
  <c r="W15" i="13"/>
  <c r="W15" i="15"/>
  <c r="V15" i="15" s="1"/>
  <c r="AY12" i="12"/>
  <c r="P15" i="13"/>
  <c r="F26" i="16"/>
  <c r="I12" i="12"/>
  <c r="AX11" i="12"/>
  <c r="AX12" i="12" s="1"/>
  <c r="AJ11" i="12"/>
  <c r="V11" i="12"/>
  <c r="V12" i="12" s="1"/>
  <c r="H11" i="12"/>
  <c r="H12" i="12" s="1"/>
  <c r="K15" i="15"/>
  <c r="I26" i="1"/>
  <c r="Z33" i="16"/>
  <c r="Z35" i="16" s="1"/>
  <c r="F21" i="1"/>
  <c r="F16" i="1"/>
  <c r="O21" i="17"/>
  <c r="O26" i="17" s="1"/>
  <c r="P21" i="17"/>
  <c r="P26" i="17" s="1"/>
  <c r="Q21" i="17"/>
  <c r="Q26" i="17" s="1"/>
  <c r="R21" i="17"/>
  <c r="R26" i="17" s="1"/>
  <c r="F21" i="11"/>
  <c r="F28" i="11" s="1"/>
  <c r="F31" i="11" s="1"/>
  <c r="E9" i="1"/>
  <c r="E48" i="6" s="1"/>
  <c r="E49" i="6" s="1"/>
  <c r="E36" i="1"/>
  <c r="C26" i="17"/>
  <c r="D26" i="17"/>
  <c r="E26" i="17"/>
  <c r="F26" i="17"/>
  <c r="S35" i="16"/>
  <c r="W18" i="12"/>
  <c r="W12" i="12"/>
  <c r="K21" i="17"/>
  <c r="K26" i="17" s="1"/>
  <c r="L21" i="17"/>
  <c r="L26" i="17" s="1"/>
  <c r="M21" i="17"/>
  <c r="M26" i="17" s="1"/>
  <c r="N21" i="17"/>
  <c r="N26" i="17" s="1"/>
  <c r="E21" i="11"/>
  <c r="D9" i="1"/>
  <c r="D48" i="6" s="1"/>
  <c r="D49" i="6" s="1"/>
  <c r="R38" i="16"/>
  <c r="AK14" i="12"/>
  <c r="N95" i="16"/>
  <c r="E104" i="1"/>
  <c r="E106" i="1" s="1"/>
  <c r="E24" i="1"/>
  <c r="E25" i="1" s="1"/>
  <c r="H21" i="16"/>
  <c r="H16" i="16"/>
  <c r="R15" i="15"/>
  <c r="T15" i="15"/>
  <c r="C25" i="1"/>
  <c r="C27" i="1" s="1"/>
  <c r="F25" i="1"/>
  <c r="F27" i="1" s="1"/>
  <c r="I21" i="1"/>
  <c r="I21" i="11"/>
  <c r="AA21" i="17"/>
  <c r="AA26" i="17" s="1"/>
  <c r="AB21" i="17"/>
  <c r="AB26" i="17" s="1"/>
  <c r="AC21" i="17"/>
  <c r="AC26" i="17" s="1"/>
  <c r="AD21" i="17"/>
  <c r="AD26" i="17" s="1"/>
  <c r="H36" i="1"/>
  <c r="H9" i="1"/>
  <c r="H48" i="6" s="1"/>
  <c r="H49" i="6" s="1"/>
  <c r="I115" i="1"/>
  <c r="W21" i="17"/>
  <c r="W26" i="17" s="1"/>
  <c r="X21" i="17"/>
  <c r="X26" i="17" s="1"/>
  <c r="H21" i="11"/>
  <c r="Y21" i="17"/>
  <c r="Y26" i="17" s="1"/>
  <c r="Z21" i="17"/>
  <c r="I7" i="1"/>
  <c r="Z65" i="16"/>
  <c r="H76" i="1"/>
  <c r="Z19" i="16"/>
  <c r="U21" i="16"/>
  <c r="R18" i="16"/>
  <c r="P21" i="16"/>
  <c r="M21" i="16"/>
  <c r="M16" i="16"/>
  <c r="K21" i="16"/>
  <c r="J16" i="16"/>
  <c r="U115" i="16"/>
  <c r="U32" i="16" s="1"/>
  <c r="Z29" i="16"/>
  <c r="Z16" i="16"/>
  <c r="C21" i="16"/>
  <c r="C16" i="16"/>
  <c r="Y40" i="16"/>
  <c r="AD26" i="16"/>
  <c r="AE21" i="17"/>
  <c r="AE26" i="17" s="1"/>
  <c r="AF21" i="17"/>
  <c r="AF26" i="17" s="1"/>
  <c r="AG21" i="17"/>
  <c r="AG26" i="17" s="1"/>
  <c r="G21" i="11"/>
  <c r="S21" i="17"/>
  <c r="S26" i="17" s="1"/>
  <c r="T21" i="17"/>
  <c r="T26" i="17" s="1"/>
  <c r="U21" i="17"/>
  <c r="U26" i="17" s="1"/>
  <c r="R40" i="16"/>
  <c r="V21" i="17"/>
  <c r="G21" i="17"/>
  <c r="G26" i="17" s="1"/>
  <c r="H21" i="17"/>
  <c r="H26" i="17" s="1"/>
  <c r="I21" i="17"/>
  <c r="I26" i="17" s="1"/>
  <c r="J21" i="17"/>
  <c r="J26" i="17" s="1"/>
  <c r="D21" i="11"/>
  <c r="AD33" i="16"/>
  <c r="AD35" i="16" s="1"/>
  <c r="V25" i="16"/>
  <c r="F25" i="16"/>
  <c r="V114" i="16"/>
  <c r="AA57" i="16"/>
  <c r="AA63" i="16" s="1"/>
  <c r="AA26" i="16"/>
  <c r="AD20" i="16"/>
  <c r="AD21" i="16" s="1"/>
  <c r="I36" i="1"/>
  <c r="N26" i="16"/>
  <c r="M9" i="16"/>
  <c r="M36" i="16"/>
  <c r="Z68" i="16"/>
  <c r="Z26" i="16"/>
  <c r="J33" i="16"/>
  <c r="J35" i="16" s="1"/>
  <c r="F33" i="16"/>
  <c r="F35" i="16" s="1"/>
  <c r="R111" i="16"/>
  <c r="J20" i="16"/>
  <c r="J21" i="16" s="1"/>
  <c r="AG21" i="16"/>
  <c r="AB21" i="16"/>
  <c r="W21" i="16"/>
  <c r="AA76" i="16"/>
  <c r="X76" i="16"/>
  <c r="J38" i="16"/>
  <c r="J40" i="16" s="1"/>
  <c r="J36" i="16" s="1"/>
  <c r="J9" i="16" s="1"/>
  <c r="AD8" i="17"/>
  <c r="AD11" i="17" s="1"/>
  <c r="V25" i="17"/>
  <c r="C15" i="17"/>
  <c r="C18" i="17" s="1"/>
  <c r="C27" i="17" s="1"/>
  <c r="V12" i="17"/>
  <c r="R72" i="17"/>
  <c r="R87" i="17" s="1"/>
  <c r="Z12" i="17"/>
  <c r="Y11" i="17"/>
  <c r="Y15" i="17" s="1"/>
  <c r="Y18" i="17" s="1"/>
  <c r="Y27" i="17" s="1"/>
  <c r="E11" i="11"/>
  <c r="E15" i="11" s="1"/>
  <c r="E18" i="11" s="1"/>
  <c r="E22" i="11" s="1"/>
  <c r="X11" i="17"/>
  <c r="X15" i="17" s="1"/>
  <c r="X18" i="17" s="1"/>
  <c r="X27" i="17" s="1"/>
  <c r="AG41" i="12" l="1"/>
  <c r="AG42" i="12" s="1"/>
  <c r="AI34" i="12"/>
  <c r="U45" i="17" s="1"/>
  <c r="U48" i="17" s="1"/>
  <c r="U56" i="17" s="1"/>
  <c r="U68" i="17" s="1"/>
  <c r="U102" i="17" s="1"/>
  <c r="D34" i="6"/>
  <c r="D37" i="11" s="1"/>
  <c r="D40" i="11" s="1"/>
  <c r="D48" i="11" s="1"/>
  <c r="D60" i="11" s="1"/>
  <c r="D93" i="11" s="1"/>
  <c r="N87" i="17"/>
  <c r="AK32" i="12"/>
  <c r="AK34" i="12" s="1"/>
  <c r="V45" i="17" s="1"/>
  <c r="V48" i="17" s="1"/>
  <c r="BD41" i="12"/>
  <c r="BD42" i="12" s="1"/>
  <c r="H28" i="11"/>
  <c r="H31" i="11" s="1"/>
  <c r="AE41" i="12"/>
  <c r="AE42" i="12" s="1"/>
  <c r="AP41" i="12"/>
  <c r="AP42" i="12" s="1"/>
  <c r="AR31" i="12"/>
  <c r="E41" i="12"/>
  <c r="E42" i="12" s="1"/>
  <c r="H36" i="17"/>
  <c r="H39" i="17" s="1"/>
  <c r="M36" i="17"/>
  <c r="M39" i="17" s="1"/>
  <c r="AC36" i="16"/>
  <c r="Y31" i="12"/>
  <c r="AZ41" i="12"/>
  <c r="AZ42" i="12" s="1"/>
  <c r="AC106" i="16"/>
  <c r="AC117" i="16" s="1"/>
  <c r="G28" i="11"/>
  <c r="G31" i="11" s="1"/>
  <c r="D28" i="11"/>
  <c r="D31" i="11" s="1"/>
  <c r="E28" i="11"/>
  <c r="E31" i="11" s="1"/>
  <c r="AH26" i="17"/>
  <c r="E36" i="17"/>
  <c r="E39" i="17" s="1"/>
  <c r="L32" i="12"/>
  <c r="L34" i="12" s="1"/>
  <c r="H45" i="17" s="1"/>
  <c r="H48" i="17" s="1"/>
  <c r="H56" i="17" s="1"/>
  <c r="H68" i="17" s="1"/>
  <c r="H102" i="17" s="1"/>
  <c r="L31" i="12"/>
  <c r="C32" i="12"/>
  <c r="C34" i="12" s="1"/>
  <c r="C45" i="17" s="1"/>
  <c r="C48" i="17" s="1"/>
  <c r="C56" i="17" s="1"/>
  <c r="C68" i="17" s="1"/>
  <c r="C102" i="17" s="1"/>
  <c r="C106" i="17" s="1"/>
  <c r="C31" i="12"/>
  <c r="AO31" i="12"/>
  <c r="P36" i="17"/>
  <c r="P39" i="17" s="1"/>
  <c r="AF31" i="12"/>
  <c r="AH31" i="12"/>
  <c r="BC31" i="12"/>
  <c r="AA31" i="12"/>
  <c r="S36" i="17"/>
  <c r="S39" i="17" s="1"/>
  <c r="U36" i="17"/>
  <c r="U39" i="17" s="1"/>
  <c r="X36" i="17"/>
  <c r="X39" i="17" s="1"/>
  <c r="T36" i="17"/>
  <c r="T39" i="17" s="1"/>
  <c r="Y36" i="17"/>
  <c r="Y39" i="17" s="1"/>
  <c r="C36" i="17"/>
  <c r="C39" i="17" s="1"/>
  <c r="D36" i="17"/>
  <c r="D39" i="17" s="1"/>
  <c r="W36" i="17"/>
  <c r="W39" i="17" s="1"/>
  <c r="X56" i="17"/>
  <c r="X68" i="17" s="1"/>
  <c r="X102" i="17" s="1"/>
  <c r="AB56" i="17"/>
  <c r="AB68" i="17" s="1"/>
  <c r="AB102" i="17" s="1"/>
  <c r="AE56" i="17"/>
  <c r="AE68" i="17" s="1"/>
  <c r="AE102" i="17" s="1"/>
  <c r="Q56" i="17"/>
  <c r="Q68" i="17" s="1"/>
  <c r="Q102" i="17" s="1"/>
  <c r="S56" i="17"/>
  <c r="S68" i="17" s="1"/>
  <c r="S102" i="17" s="1"/>
  <c r="Y56" i="17"/>
  <c r="Y68" i="17" s="1"/>
  <c r="Y102" i="17" s="1"/>
  <c r="AA56" i="17"/>
  <c r="AA68" i="17" s="1"/>
  <c r="AA102" i="17" s="1"/>
  <c r="AG56" i="17"/>
  <c r="AG68" i="17" s="1"/>
  <c r="AG102" i="17" s="1"/>
  <c r="D56" i="17"/>
  <c r="D68" i="17" s="1"/>
  <c r="D102" i="17" s="1"/>
  <c r="D106" i="17" s="1"/>
  <c r="T56" i="17"/>
  <c r="T68" i="17" s="1"/>
  <c r="T102" i="17" s="1"/>
  <c r="AF56" i="17"/>
  <c r="AF68" i="17" s="1"/>
  <c r="AF102" i="17" s="1"/>
  <c r="F36" i="17"/>
  <c r="F39" i="17" s="1"/>
  <c r="L36" i="17"/>
  <c r="L39" i="17" s="1"/>
  <c r="I36" i="17"/>
  <c r="I39" i="17" s="1"/>
  <c r="K36" i="17"/>
  <c r="K39" i="17" s="1"/>
  <c r="Q36" i="17"/>
  <c r="Q39" i="17" s="1"/>
  <c r="G36" i="17"/>
  <c r="G39" i="17" s="1"/>
  <c r="O36" i="17"/>
  <c r="O39" i="17" s="1"/>
  <c r="I48" i="11"/>
  <c r="I60" i="11" s="1"/>
  <c r="I93" i="11" s="1"/>
  <c r="G48" i="11"/>
  <c r="G60" i="11" s="1"/>
  <c r="G93" i="11" s="1"/>
  <c r="AB117" i="16"/>
  <c r="AC41" i="16"/>
  <c r="AD115" i="16"/>
  <c r="AD32" i="16" s="1"/>
  <c r="AD41" i="16" s="1"/>
  <c r="AC8" i="16"/>
  <c r="AD76" i="16"/>
  <c r="AD7" i="16" s="1"/>
  <c r="C32" i="6"/>
  <c r="C41" i="6" s="1"/>
  <c r="C31" i="6"/>
  <c r="H32" i="6"/>
  <c r="AG9" i="16"/>
  <c r="AA117" i="16"/>
  <c r="AE18" i="17"/>
  <c r="AE27" i="17"/>
  <c r="AF18" i="17"/>
  <c r="AF27" i="17"/>
  <c r="AC18" i="17"/>
  <c r="AC27" i="17"/>
  <c r="AG18" i="17"/>
  <c r="AG27" i="17"/>
  <c r="AD106" i="16"/>
  <c r="N32" i="12"/>
  <c r="N41" i="12" s="1"/>
  <c r="N42" i="12" s="1"/>
  <c r="S117" i="16"/>
  <c r="T8" i="16"/>
  <c r="T7" i="16"/>
  <c r="G8" i="1"/>
  <c r="X27" i="16"/>
  <c r="X28" i="16" s="1"/>
  <c r="X30" i="16" s="1"/>
  <c r="Z26" i="17"/>
  <c r="D8" i="1"/>
  <c r="D78" i="1"/>
  <c r="K22" i="12"/>
  <c r="AB41" i="12"/>
  <c r="AB42" i="12" s="1"/>
  <c r="K14" i="12"/>
  <c r="R7" i="15"/>
  <c r="R25" i="15" s="1"/>
  <c r="S8" i="16"/>
  <c r="Q32" i="12"/>
  <c r="Q34" i="12" s="1"/>
  <c r="K45" i="17" s="1"/>
  <c r="K48" i="17" s="1"/>
  <c r="Q36" i="16"/>
  <c r="D117" i="16"/>
  <c r="L7" i="16"/>
  <c r="Z63" i="16"/>
  <c r="AB9" i="16"/>
  <c r="D8" i="16"/>
  <c r="R63" i="16"/>
  <c r="J63" i="16"/>
  <c r="O78" i="16"/>
  <c r="D78" i="16"/>
  <c r="E7" i="16"/>
  <c r="C7" i="1"/>
  <c r="F25" i="15"/>
  <c r="Y8" i="16"/>
  <c r="Z21" i="16"/>
  <c r="Z15" i="16" s="1"/>
  <c r="I7" i="16"/>
  <c r="Y41" i="16"/>
  <c r="AG57" i="16"/>
  <c r="AG63" i="16" s="1"/>
  <c r="AG78" i="16" s="1"/>
  <c r="F115" i="16"/>
  <c r="F32" i="16" s="1"/>
  <c r="F41" i="16" s="1"/>
  <c r="AA27" i="16"/>
  <c r="AA28" i="16" s="1"/>
  <c r="AA30" i="16" s="1"/>
  <c r="AE27" i="16"/>
  <c r="AE28" i="16" s="1"/>
  <c r="AE30" i="16" s="1"/>
  <c r="Q28" i="16"/>
  <c r="Q30" i="16" s="1"/>
  <c r="O7" i="16"/>
  <c r="L8" i="16"/>
  <c r="F63" i="16"/>
  <c r="G78" i="16"/>
  <c r="U32" i="12"/>
  <c r="U34" i="12" s="1"/>
  <c r="M45" i="17" s="1"/>
  <c r="M48" i="17" s="1"/>
  <c r="T28" i="16"/>
  <c r="T30" i="16" s="1"/>
  <c r="AA7" i="15"/>
  <c r="AA25" i="15" s="1"/>
  <c r="AA36" i="16"/>
  <c r="T14" i="12"/>
  <c r="H7" i="16"/>
  <c r="G7" i="16"/>
  <c r="S27" i="16"/>
  <c r="S28" i="16" s="1"/>
  <c r="S30" i="16" s="1"/>
  <c r="AC27" i="16"/>
  <c r="AC28" i="16" s="1"/>
  <c r="AC30" i="16" s="1"/>
  <c r="AB7" i="16"/>
  <c r="N76" i="16"/>
  <c r="H117" i="1"/>
  <c r="T15" i="16"/>
  <c r="AB32" i="16"/>
  <c r="AB41" i="16" s="1"/>
  <c r="S7" i="16"/>
  <c r="E117" i="1"/>
  <c r="D28" i="16"/>
  <c r="D30" i="16" s="1"/>
  <c r="AF8" i="16"/>
  <c r="D28" i="1"/>
  <c r="D30" i="1" s="1"/>
  <c r="P36" i="16"/>
  <c r="N63" i="16"/>
  <c r="M78" i="16"/>
  <c r="Q78" i="16"/>
  <c r="AE9" i="16"/>
  <c r="U41" i="16"/>
  <c r="AA32" i="16"/>
  <c r="AA41" i="16" s="1"/>
  <c r="AA32" i="12"/>
  <c r="AA41" i="12" s="1"/>
  <c r="AA42" i="12" s="1"/>
  <c r="U78" i="16"/>
  <c r="M14" i="12"/>
  <c r="P41" i="16"/>
  <c r="F117" i="1"/>
  <c r="AD9" i="16"/>
  <c r="L28" i="16"/>
  <c r="L30" i="16" s="1"/>
  <c r="F76" i="16"/>
  <c r="P7" i="16"/>
  <c r="O8" i="16"/>
  <c r="C78" i="1"/>
  <c r="G78" i="1"/>
  <c r="C8" i="16"/>
  <c r="J115" i="16"/>
  <c r="J32" i="16" s="1"/>
  <c r="J41" i="16" s="1"/>
  <c r="M8" i="16"/>
  <c r="AS41" i="12"/>
  <c r="AS42" i="12" s="1"/>
  <c r="R115" i="16"/>
  <c r="R32" i="16" s="1"/>
  <c r="R41" i="16" s="1"/>
  <c r="K8" i="16"/>
  <c r="AF27" i="16"/>
  <c r="AF28" i="16" s="1"/>
  <c r="AF30" i="16" s="1"/>
  <c r="M7" i="16"/>
  <c r="V63" i="16"/>
  <c r="L78" i="16"/>
  <c r="U36" i="16"/>
  <c r="Y78" i="16"/>
  <c r="E78" i="1"/>
  <c r="AL34" i="12"/>
  <c r="W45" i="17" s="1"/>
  <c r="W48" i="17" s="1"/>
  <c r="M25" i="15"/>
  <c r="K7" i="16"/>
  <c r="P8" i="16"/>
  <c r="E27" i="1"/>
  <c r="E28" i="1" s="1"/>
  <c r="E30" i="1" s="1"/>
  <c r="O41" i="16"/>
  <c r="D25" i="15"/>
  <c r="O9" i="16"/>
  <c r="F26" i="12"/>
  <c r="F31" i="12" s="1"/>
  <c r="O117" i="16"/>
  <c r="F22" i="12"/>
  <c r="G32" i="12"/>
  <c r="G34" i="12" s="1"/>
  <c r="E45" i="17" s="1"/>
  <c r="E48" i="17" s="1"/>
  <c r="D32" i="16"/>
  <c r="D41" i="16" s="1"/>
  <c r="I78" i="16"/>
  <c r="T41" i="16"/>
  <c r="AG41" i="16"/>
  <c r="R27" i="16"/>
  <c r="P117" i="16"/>
  <c r="AF9" i="16"/>
  <c r="AF41" i="16"/>
  <c r="R76" i="16"/>
  <c r="T26" i="12"/>
  <c r="D22" i="12"/>
  <c r="J27" i="16"/>
  <c r="J28" i="16" s="1"/>
  <c r="J30" i="16" s="1"/>
  <c r="K117" i="16"/>
  <c r="V15" i="17"/>
  <c r="V18" i="17" s="1"/>
  <c r="V27" i="17" s="1"/>
  <c r="C28" i="1"/>
  <c r="C30" i="1" s="1"/>
  <c r="V115" i="16"/>
  <c r="V32" i="16" s="1"/>
  <c r="V41" i="16" s="1"/>
  <c r="F78" i="1"/>
  <c r="D26" i="12"/>
  <c r="Q117" i="16"/>
  <c r="G117" i="1"/>
  <c r="Q41" i="16"/>
  <c r="F14" i="12"/>
  <c r="C78" i="16"/>
  <c r="M32" i="12"/>
  <c r="M34" i="12" s="1"/>
  <c r="C117" i="16"/>
  <c r="J76" i="16"/>
  <c r="J7" i="16" s="1"/>
  <c r="D14" i="12"/>
  <c r="I28" i="16"/>
  <c r="I30" i="16" s="1"/>
  <c r="M117" i="16"/>
  <c r="W117" i="16"/>
  <c r="R11" i="17"/>
  <c r="R15" i="17" s="1"/>
  <c r="R18" i="17" s="1"/>
  <c r="R27" i="17" s="1"/>
  <c r="R36" i="17" s="1"/>
  <c r="R39" i="17" s="1"/>
  <c r="Y28" i="16"/>
  <c r="Y30" i="16" s="1"/>
  <c r="AE78" i="16"/>
  <c r="I106" i="1"/>
  <c r="I117" i="1" s="1"/>
  <c r="N9" i="16"/>
  <c r="N36" i="16"/>
  <c r="BA32" i="12"/>
  <c r="BA41" i="12" s="1"/>
  <c r="BA42" i="12" s="1"/>
  <c r="W26" i="12"/>
  <c r="K32" i="12"/>
  <c r="K34" i="12" s="1"/>
  <c r="H28" i="1"/>
  <c r="H30" i="1" s="1"/>
  <c r="S32" i="12"/>
  <c r="AE8" i="16"/>
  <c r="AF36" i="16"/>
  <c r="Y117" i="16"/>
  <c r="F8" i="1"/>
  <c r="V36" i="16"/>
  <c r="I45" i="6"/>
  <c r="I46" i="6" s="1"/>
  <c r="T78" i="16"/>
  <c r="Z115" i="16"/>
  <c r="Z32" i="16" s="1"/>
  <c r="Z41" i="16" s="1"/>
  <c r="T117" i="16"/>
  <c r="L117" i="16"/>
  <c r="V76" i="16"/>
  <c r="K78" i="16"/>
  <c r="AF117" i="16"/>
  <c r="G28" i="16"/>
  <c r="G30" i="16" s="1"/>
  <c r="V106" i="16"/>
  <c r="P78" i="16"/>
  <c r="AF78" i="16"/>
  <c r="U117" i="16"/>
  <c r="H78" i="16"/>
  <c r="N18" i="17"/>
  <c r="N27" i="17" s="1"/>
  <c r="N36" i="17" s="1"/>
  <c r="AT32" i="12"/>
  <c r="AT34" i="12" s="1"/>
  <c r="AD32" i="12"/>
  <c r="AD34" i="12" s="1"/>
  <c r="R45" i="17" s="1"/>
  <c r="R48" i="17" s="1"/>
  <c r="E78" i="16"/>
  <c r="AE41" i="16"/>
  <c r="G15" i="16"/>
  <c r="J32" i="12"/>
  <c r="X9" i="16"/>
  <c r="X36" i="16"/>
  <c r="H117" i="16"/>
  <c r="D117" i="1"/>
  <c r="G28" i="1"/>
  <c r="G30" i="1" s="1"/>
  <c r="AY32" i="12"/>
  <c r="AY41" i="12" s="1"/>
  <c r="AY42" i="12" s="1"/>
  <c r="E117" i="16"/>
  <c r="E28" i="16"/>
  <c r="E30" i="16" s="1"/>
  <c r="W27" i="16"/>
  <c r="W28" i="16" s="1"/>
  <c r="W30" i="16" s="1"/>
  <c r="Q8" i="16"/>
  <c r="G117" i="16"/>
  <c r="AJ22" i="12"/>
  <c r="X41" i="16"/>
  <c r="Q7" i="16"/>
  <c r="J11" i="17"/>
  <c r="J15" i="17" s="1"/>
  <c r="J18" i="17" s="1"/>
  <c r="J27" i="17" s="1"/>
  <c r="AU41" i="12"/>
  <c r="AU42" i="12" s="1"/>
  <c r="F106" i="16"/>
  <c r="S9" i="16"/>
  <c r="S36" i="16"/>
  <c r="W9" i="16"/>
  <c r="W36" i="16"/>
  <c r="AE117" i="16"/>
  <c r="O28" i="16"/>
  <c r="O30" i="16" s="1"/>
  <c r="I27" i="1"/>
  <c r="I28" i="1" s="1"/>
  <c r="I30" i="1" s="1"/>
  <c r="N115" i="16"/>
  <c r="N32" i="16" s="1"/>
  <c r="N41" i="16" s="1"/>
  <c r="S78" i="16"/>
  <c r="F27" i="16"/>
  <c r="F28" i="16" s="1"/>
  <c r="F30" i="16" s="1"/>
  <c r="AB78" i="16"/>
  <c r="U7" i="16"/>
  <c r="U8" i="16"/>
  <c r="T7" i="15"/>
  <c r="T25" i="15" s="1"/>
  <c r="M22" i="12"/>
  <c r="X117" i="16"/>
  <c r="Z15" i="17"/>
  <c r="Z18" i="17" s="1"/>
  <c r="Z27" i="17" s="1"/>
  <c r="V27" i="16"/>
  <c r="V28" i="16" s="1"/>
  <c r="V30" i="16" s="1"/>
  <c r="E8" i="1"/>
  <c r="I117" i="16"/>
  <c r="W7" i="16"/>
  <c r="W8" i="16"/>
  <c r="G42" i="6"/>
  <c r="T36" i="16"/>
  <c r="T9" i="16"/>
  <c r="W41" i="16"/>
  <c r="W78" i="16"/>
  <c r="D42" i="6"/>
  <c r="F34" i="6"/>
  <c r="F37" i="11" s="1"/>
  <c r="F40" i="11" s="1"/>
  <c r="F42" i="6"/>
  <c r="W14" i="12"/>
  <c r="W22" i="12"/>
  <c r="AO34" i="12"/>
  <c r="AO41" i="12"/>
  <c r="AO42" i="12" s="1"/>
  <c r="AH41" i="12"/>
  <c r="AH42" i="12" s="1"/>
  <c r="AH34" i="12"/>
  <c r="Z106" i="16"/>
  <c r="J106" i="16"/>
  <c r="C117" i="1"/>
  <c r="AD27" i="16"/>
  <c r="AD28" i="16" s="1"/>
  <c r="AD30" i="16" s="1"/>
  <c r="E7" i="1"/>
  <c r="K9" i="16"/>
  <c r="K36" i="16"/>
  <c r="K41" i="16"/>
  <c r="J15" i="16"/>
  <c r="X8" i="16"/>
  <c r="X7" i="16"/>
  <c r="X78" i="16"/>
  <c r="AG15" i="16"/>
  <c r="V15" i="16"/>
  <c r="AA78" i="16"/>
  <c r="P15" i="16"/>
  <c r="P28" i="16"/>
  <c r="P30" i="16" s="1"/>
  <c r="I15" i="1"/>
  <c r="N104" i="16"/>
  <c r="N106" i="16" s="1"/>
  <c r="N24" i="16"/>
  <c r="N25" i="16" s="1"/>
  <c r="N27" i="16" s="1"/>
  <c r="N28" i="16" s="1"/>
  <c r="N30" i="16" s="1"/>
  <c r="F15" i="1"/>
  <c r="F28" i="1"/>
  <c r="F30" i="1" s="1"/>
  <c r="AM32" i="12"/>
  <c r="AF34" i="12"/>
  <c r="AF41" i="12"/>
  <c r="AF42" i="12" s="1"/>
  <c r="AQ24" i="12"/>
  <c r="AQ37" i="12" s="1"/>
  <c r="AR37" i="12"/>
  <c r="V26" i="17"/>
  <c r="R16" i="16"/>
  <c r="R21" i="16"/>
  <c r="AQ12" i="12"/>
  <c r="AW34" i="12"/>
  <c r="AC45" i="17" s="1"/>
  <c r="AC48" i="17" s="1"/>
  <c r="AW41" i="12"/>
  <c r="AW42" i="12" s="1"/>
  <c r="R9" i="16"/>
  <c r="R36" i="16"/>
  <c r="W7" i="15"/>
  <c r="W25" i="15" s="1"/>
  <c r="P22" i="12"/>
  <c r="P26" i="12"/>
  <c r="P31" i="12" s="1"/>
  <c r="P14" i="12"/>
  <c r="AC18" i="12"/>
  <c r="Y32" i="12"/>
  <c r="AA8" i="16"/>
  <c r="AA7" i="16"/>
  <c r="Y9" i="16"/>
  <c r="Y36" i="16"/>
  <c r="U28" i="16"/>
  <c r="U30" i="16" s="1"/>
  <c r="U15" i="16"/>
  <c r="H8" i="1"/>
  <c r="H7" i="1"/>
  <c r="H15" i="16"/>
  <c r="H28" i="16"/>
  <c r="H30" i="16" s="1"/>
  <c r="S41" i="16"/>
  <c r="AX26" i="12"/>
  <c r="AX32" i="12" s="1"/>
  <c r="AX14" i="12"/>
  <c r="AX22" i="12"/>
  <c r="C31" i="11"/>
  <c r="AC7" i="15"/>
  <c r="AC25" i="15" s="1"/>
  <c r="V14" i="12"/>
  <c r="V26" i="12"/>
  <c r="V32" i="12" s="1"/>
  <c r="V22" i="12"/>
  <c r="Y7" i="15"/>
  <c r="Y25" i="15" s="1"/>
  <c r="R22" i="12"/>
  <c r="R14" i="12"/>
  <c r="R26" i="12"/>
  <c r="R31" i="12" s="1"/>
  <c r="K25" i="15"/>
  <c r="Z36" i="16"/>
  <c r="Z9" i="16"/>
  <c r="Z76" i="16"/>
  <c r="Z23" i="16"/>
  <c r="Z25" i="16" s="1"/>
  <c r="Z27" i="16" s="1"/>
  <c r="I32" i="1"/>
  <c r="I41" i="1" s="1"/>
  <c r="AJ12" i="12"/>
  <c r="AJ14" i="12"/>
  <c r="P7" i="15"/>
  <c r="P25" i="15" s="1"/>
  <c r="I22" i="12"/>
  <c r="I14" i="12"/>
  <c r="I26" i="12"/>
  <c r="I31" i="12" s="1"/>
  <c r="BC41" i="12"/>
  <c r="BC42" i="12" s="1"/>
  <c r="BC34" i="12"/>
  <c r="AV32" i="12"/>
  <c r="AC12" i="12"/>
  <c r="K28" i="16"/>
  <c r="K30" i="16" s="1"/>
  <c r="K15" i="16"/>
  <c r="V7" i="15"/>
  <c r="V25" i="15" s="1"/>
  <c r="O26" i="12"/>
  <c r="O32" i="12" s="1"/>
  <c r="O14" i="12"/>
  <c r="O22" i="12"/>
  <c r="O9" i="12"/>
  <c r="X34" i="12"/>
  <c r="O45" i="17" s="1"/>
  <c r="O48" i="17" s="1"/>
  <c r="X41" i="12"/>
  <c r="X42" i="12" s="1"/>
  <c r="F104" i="17"/>
  <c r="W15" i="16"/>
  <c r="R106" i="16"/>
  <c r="H25" i="15"/>
  <c r="H21" i="12"/>
  <c r="H18" i="12"/>
  <c r="I25" i="15"/>
  <c r="H78" i="1"/>
  <c r="AB15" i="16"/>
  <c r="AB28" i="16"/>
  <c r="AB30" i="16" s="1"/>
  <c r="AD15" i="16"/>
  <c r="C15" i="16"/>
  <c r="C28" i="16"/>
  <c r="C30" i="16" s="1"/>
  <c r="M15" i="16"/>
  <c r="M28" i="16"/>
  <c r="M30" i="16" s="1"/>
  <c r="AQ9" i="12"/>
  <c r="AQ14" i="12"/>
  <c r="AX7" i="15"/>
  <c r="AX25" i="15" s="1"/>
  <c r="AQ22" i="12"/>
  <c r="AJ7" i="15"/>
  <c r="AJ25" i="15" s="1"/>
  <c r="AC22" i="12"/>
  <c r="AC14" i="12"/>
  <c r="AC26" i="12"/>
  <c r="AC32" i="12" s="1"/>
  <c r="Z34" i="12"/>
  <c r="Z41" i="12"/>
  <c r="Z42" i="12" s="1"/>
  <c r="O12" i="12"/>
  <c r="AJ37" i="12"/>
  <c r="AJ26" i="12"/>
  <c r="AJ32" i="12" s="1"/>
  <c r="AK41" i="12" l="1"/>
  <c r="AK42" i="12" s="1"/>
  <c r="L41" i="12"/>
  <c r="L42" i="12" s="1"/>
  <c r="C41" i="12"/>
  <c r="C42" i="12" s="1"/>
  <c r="AD78" i="16"/>
  <c r="AD8" i="16"/>
  <c r="AD117" i="16"/>
  <c r="W32" i="12"/>
  <c r="W34" i="12" s="1"/>
  <c r="N45" i="17" s="1"/>
  <c r="N48" i="17" s="1"/>
  <c r="N56" i="17" s="1"/>
  <c r="N68" i="17" s="1"/>
  <c r="N102" i="17" s="1"/>
  <c r="W31" i="12"/>
  <c r="AX31" i="12"/>
  <c r="O31" i="12"/>
  <c r="T32" i="12"/>
  <c r="T34" i="12" s="1"/>
  <c r="T31" i="12"/>
  <c r="AJ31" i="12"/>
  <c r="H34" i="6"/>
  <c r="H37" i="11" s="1"/>
  <c r="H40" i="11" s="1"/>
  <c r="H48" i="11" s="1"/>
  <c r="H60" i="11" s="1"/>
  <c r="H93" i="11" s="1"/>
  <c r="H41" i="6"/>
  <c r="H42" i="6" s="1"/>
  <c r="D32" i="12"/>
  <c r="D41" i="12" s="1"/>
  <c r="D42" i="12" s="1"/>
  <c r="D31" i="12"/>
  <c r="V31" i="12"/>
  <c r="AC31" i="12"/>
  <c r="AE36" i="17"/>
  <c r="AE39" i="17" s="1"/>
  <c r="Z36" i="17"/>
  <c r="Z39" i="17" s="1"/>
  <c r="O56" i="17"/>
  <c r="O68" i="17" s="1"/>
  <c r="O102" i="17" s="1"/>
  <c r="M56" i="17"/>
  <c r="M68" i="17" s="1"/>
  <c r="M102" i="17" s="1"/>
  <c r="W56" i="17"/>
  <c r="W68" i="17" s="1"/>
  <c r="W102" i="17" s="1"/>
  <c r="AG36" i="17"/>
  <c r="AG39" i="17" s="1"/>
  <c r="E56" i="17"/>
  <c r="E68" i="17" s="1"/>
  <c r="E102" i="17" s="1"/>
  <c r="E106" i="17" s="1"/>
  <c r="R56" i="17"/>
  <c r="R68" i="17" s="1"/>
  <c r="R102" i="17" s="1"/>
  <c r="V36" i="17"/>
  <c r="V39" i="17" s="1"/>
  <c r="K56" i="17"/>
  <c r="K68" i="17" s="1"/>
  <c r="K102" i="17" s="1"/>
  <c r="AC56" i="17"/>
  <c r="AC68" i="17" s="1"/>
  <c r="AC102" i="17" s="1"/>
  <c r="V56" i="17"/>
  <c r="V68" i="17" s="1"/>
  <c r="V102" i="17" s="1"/>
  <c r="N39" i="17"/>
  <c r="J36" i="17"/>
  <c r="J39" i="17" s="1"/>
  <c r="AF36" i="17"/>
  <c r="AF39" i="17" s="1"/>
  <c r="AC36" i="17"/>
  <c r="AC39" i="17" s="1"/>
  <c r="F48" i="11"/>
  <c r="F60" i="11" s="1"/>
  <c r="F93" i="11" s="1"/>
  <c r="N34" i="12"/>
  <c r="I45" i="17" s="1"/>
  <c r="I48" i="17" s="1"/>
  <c r="F117" i="16"/>
  <c r="R78" i="16"/>
  <c r="Q41" i="12"/>
  <c r="Q42" i="12" s="1"/>
  <c r="Z28" i="16"/>
  <c r="Z30" i="16" s="1"/>
  <c r="Z78" i="16"/>
  <c r="U41" i="12"/>
  <c r="U42" i="12" s="1"/>
  <c r="M41" i="12"/>
  <c r="M42" i="12" s="1"/>
  <c r="F78" i="16"/>
  <c r="J117" i="16"/>
  <c r="F8" i="16"/>
  <c r="AA34" i="12"/>
  <c r="N78" i="16"/>
  <c r="BA34" i="12"/>
  <c r="F7" i="16"/>
  <c r="R117" i="16"/>
  <c r="V78" i="16"/>
  <c r="N117" i="16"/>
  <c r="G41" i="12"/>
  <c r="G42" i="12" s="1"/>
  <c r="V117" i="16"/>
  <c r="F32" i="12"/>
  <c r="J78" i="16"/>
  <c r="R8" i="16"/>
  <c r="J8" i="16"/>
  <c r="R7" i="16"/>
  <c r="V8" i="16"/>
  <c r="V7" i="16"/>
  <c r="AY34" i="12"/>
  <c r="AD45" i="17" s="1"/>
  <c r="AD48" i="17" s="1"/>
  <c r="AT41" i="12"/>
  <c r="AT42" i="12" s="1"/>
  <c r="K41" i="12"/>
  <c r="K42" i="12" s="1"/>
  <c r="S34" i="12"/>
  <c r="L45" i="17" s="1"/>
  <c r="L48" i="17" s="1"/>
  <c r="S41" i="12"/>
  <c r="S42" i="12" s="1"/>
  <c r="Z117" i="16"/>
  <c r="AD41" i="12"/>
  <c r="AD42" i="12" s="1"/>
  <c r="N8" i="16"/>
  <c r="AQ26" i="12"/>
  <c r="N7" i="16"/>
  <c r="J34" i="12"/>
  <c r="G45" i="17" s="1"/>
  <c r="G48" i="17" s="1"/>
  <c r="J41" i="12"/>
  <c r="J42" i="12" s="1"/>
  <c r="C34" i="6"/>
  <c r="C42" i="6"/>
  <c r="O41" i="12"/>
  <c r="O42" i="12" s="1"/>
  <c r="O34" i="12"/>
  <c r="AV34" i="12"/>
  <c r="AV41" i="12"/>
  <c r="AV42" i="12" s="1"/>
  <c r="Y34" i="12"/>
  <c r="Y41" i="12"/>
  <c r="Y42" i="12" s="1"/>
  <c r="R32" i="12"/>
  <c r="E34" i="6"/>
  <c r="E37" i="11" s="1"/>
  <c r="E40" i="11" s="1"/>
  <c r="E42" i="6"/>
  <c r="Z8" i="16"/>
  <c r="Z7" i="16"/>
  <c r="AX34" i="12"/>
  <c r="AX41" i="12"/>
  <c r="AX42" i="12" s="1"/>
  <c r="O7" i="15"/>
  <c r="O25" i="15" s="1"/>
  <c r="H22" i="12"/>
  <c r="H26" i="12"/>
  <c r="H31" i="12" s="1"/>
  <c r="H14" i="12"/>
  <c r="AM41" i="12"/>
  <c r="AM42" i="12" s="1"/>
  <c r="AM34" i="12"/>
  <c r="P45" i="17"/>
  <c r="P48" i="17" s="1"/>
  <c r="Z43" i="12"/>
  <c r="I32" i="12"/>
  <c r="P32" i="12"/>
  <c r="AJ34" i="12"/>
  <c r="AJ41" i="12"/>
  <c r="AJ42" i="12" s="1"/>
  <c r="AC34" i="12"/>
  <c r="AC41" i="12"/>
  <c r="AC42" i="12" s="1"/>
  <c r="V34" i="12"/>
  <c r="V41" i="12"/>
  <c r="V42" i="12" s="1"/>
  <c r="R15" i="16"/>
  <c r="R28" i="16"/>
  <c r="R30" i="16" s="1"/>
  <c r="AR32" i="12"/>
  <c r="W41" i="12" l="1"/>
  <c r="W42" i="12" s="1"/>
  <c r="T41" i="12"/>
  <c r="T42" i="12" s="1"/>
  <c r="D34" i="12"/>
  <c r="AQ32" i="12"/>
  <c r="AQ41" i="12" s="1"/>
  <c r="AQ42" i="12" s="1"/>
  <c r="AQ31" i="12"/>
  <c r="P56" i="17"/>
  <c r="P68" i="17" s="1"/>
  <c r="P102" i="17" s="1"/>
  <c r="I56" i="17"/>
  <c r="I68" i="17" s="1"/>
  <c r="I102" i="17" s="1"/>
  <c r="G56" i="17"/>
  <c r="G68" i="17" s="1"/>
  <c r="G102" i="17" s="1"/>
  <c r="L56" i="17"/>
  <c r="L68" i="17" s="1"/>
  <c r="L102" i="17" s="1"/>
  <c r="AD56" i="17"/>
  <c r="AD68" i="17" s="1"/>
  <c r="AD102" i="17" s="1"/>
  <c r="E48" i="11"/>
  <c r="E60" i="11" s="1"/>
  <c r="E93" i="11" s="1"/>
  <c r="F41" i="12"/>
  <c r="F42" i="12" s="1"/>
  <c r="F34" i="12"/>
  <c r="F45" i="17"/>
  <c r="F48" i="17" s="1"/>
  <c r="C37" i="11"/>
  <c r="C40" i="11" s="1"/>
  <c r="AR34" i="12"/>
  <c r="Z45" i="17" s="1"/>
  <c r="Z48" i="17" s="1"/>
  <c r="AR41" i="12"/>
  <c r="AR42" i="12" s="1"/>
  <c r="I34" i="12"/>
  <c r="I41" i="12"/>
  <c r="I42" i="12" s="1"/>
  <c r="H32" i="12"/>
  <c r="R34" i="12"/>
  <c r="R41" i="12"/>
  <c r="R42" i="12" s="1"/>
  <c r="P34" i="12"/>
  <c r="J45" i="17" s="1"/>
  <c r="J48" i="17" s="1"/>
  <c r="P41" i="12"/>
  <c r="P42" i="12" s="1"/>
  <c r="AQ34" i="12" l="1"/>
  <c r="J56" i="17"/>
  <c r="J68" i="17" s="1"/>
  <c r="J102" i="17" s="1"/>
  <c r="Z56" i="17"/>
  <c r="Z68" i="17" s="1"/>
  <c r="Z102" i="17" s="1"/>
  <c r="F56" i="17"/>
  <c r="F68" i="17" s="1"/>
  <c r="F102" i="17" s="1"/>
  <c r="F106" i="17" s="1"/>
  <c r="C48" i="11"/>
  <c r="C60" i="11" s="1"/>
  <c r="C93" i="11" s="1"/>
  <c r="H34" i="12"/>
  <c r="H41" i="12"/>
  <c r="H42" i="12" s="1"/>
  <c r="C97" i="11" l="1"/>
  <c r="D95" i="11" s="1"/>
  <c r="G104" i="17"/>
  <c r="G106" i="17" s="1"/>
  <c r="I104" i="17"/>
  <c r="I106" i="17" s="1"/>
  <c r="H104" i="17"/>
  <c r="H106" i="17" s="1"/>
  <c r="D97" i="11" l="1"/>
  <c r="E95" i="11" s="1"/>
  <c r="N104" i="17" s="1"/>
  <c r="N106" i="17" s="1"/>
  <c r="J104" i="17"/>
  <c r="J106" i="17" s="1"/>
  <c r="M104" i="17" s="1"/>
  <c r="M106" i="17" s="1"/>
  <c r="E97" i="11" l="1"/>
  <c r="F95" i="11" s="1"/>
  <c r="R104" i="17" s="1"/>
  <c r="R106" i="17" s="1"/>
  <c r="U104" i="17" s="1"/>
  <c r="U106" i="17" s="1"/>
  <c r="L104" i="17"/>
  <c r="L106" i="17" s="1"/>
  <c r="O104" i="17"/>
  <c r="O106" i="17" s="1"/>
  <c r="K104" i="17"/>
  <c r="K106" i="17" s="1"/>
  <c r="P104" i="17"/>
  <c r="P106" i="17" s="1"/>
  <c r="Q104" i="17"/>
  <c r="Q106" i="17" s="1"/>
  <c r="F97" i="11" l="1"/>
  <c r="G95" i="11" s="1"/>
  <c r="V104" i="17" s="1"/>
  <c r="V106" i="17" s="1"/>
  <c r="T104" i="17"/>
  <c r="T106" i="17" s="1"/>
  <c r="S104" i="17"/>
  <c r="S106" i="17" s="1"/>
  <c r="G97" i="11" l="1"/>
  <c r="H95" i="11" s="1"/>
  <c r="Z104" i="17" s="1"/>
  <c r="Z106" i="17" s="1"/>
  <c r="Y104" i="17"/>
  <c r="Y106" i="17" s="1"/>
  <c r="AH13" i="17"/>
  <c r="H97" i="11" l="1"/>
  <c r="I95" i="11" s="1"/>
  <c r="I97" i="11" s="1"/>
  <c r="J95" i="11" s="1"/>
  <c r="AH104" i="17" s="1"/>
  <c r="W104" i="17"/>
  <c r="W106" i="17" s="1"/>
  <c r="X104" i="17"/>
  <c r="X106" i="17" s="1"/>
  <c r="AB104" i="17"/>
  <c r="AB106" i="17" s="1"/>
  <c r="AD104" i="17"/>
  <c r="AD106" i="17" s="1"/>
  <c r="AC104" i="17"/>
  <c r="AC106" i="17" s="1"/>
  <c r="AA104" i="17"/>
  <c r="AA106" i="17" s="1"/>
  <c r="AH70" i="17"/>
  <c r="J8" i="11"/>
  <c r="AH87" i="17" l="1"/>
  <c r="AH102" i="17" s="1"/>
  <c r="AH106" i="17" s="1"/>
  <c r="J97" i="11"/>
  <c r="K95" i="11" s="1"/>
  <c r="K97" i="11" s="1"/>
  <c r="AE104" i="17"/>
  <c r="AE106" i="17" s="1"/>
  <c r="AG104" i="17"/>
  <c r="AG106" i="17" s="1"/>
  <c r="AF104" i="17"/>
  <c r="AF106" i="17" s="1"/>
  <c r="AA15" i="17"/>
  <c r="J44" i="6"/>
  <c r="J45" i="6" s="1"/>
  <c r="J46" i="6" s="1"/>
  <c r="AH8" i="17"/>
  <c r="AH11" i="17" s="1"/>
  <c r="J11" i="11"/>
  <c r="AB15" i="17"/>
  <c r="AL104" i="17" l="1"/>
  <c r="AJ104" i="17"/>
  <c r="AJ106" i="17" s="1"/>
  <c r="AK104" i="17"/>
  <c r="AK106" i="17" s="1"/>
  <c r="AI104" i="17"/>
  <c r="AI106" i="17" s="1"/>
  <c r="AB18" i="17"/>
  <c r="AB27" i="17"/>
  <c r="AA18" i="17"/>
  <c r="AA27" i="17"/>
  <c r="AD15" i="17"/>
  <c r="I15" i="11"/>
  <c r="I18" i="11" s="1"/>
  <c r="I22" i="11" s="1"/>
  <c r="I28" i="11" s="1"/>
  <c r="I31" i="11" s="1"/>
  <c r="AL106" i="17" l="1"/>
  <c r="AA36" i="17"/>
  <c r="AA39" i="17" s="1"/>
  <c r="AB36" i="17"/>
  <c r="AB39" i="17" s="1"/>
  <c r="AD18" i="17"/>
  <c r="AD27" i="17"/>
  <c r="AH14" i="17"/>
  <c r="AH15" i="17" s="1"/>
  <c r="J15" i="11"/>
  <c r="J18" i="11" s="1"/>
  <c r="J22" i="11" s="1"/>
  <c r="J28" i="11" s="1"/>
  <c r="J31" i="11" s="1"/>
  <c r="AD36" i="17" l="1"/>
  <c r="AD39" i="17" s="1"/>
  <c r="AH18" i="17"/>
  <c r="AH27" i="17"/>
  <c r="AG26" i="16"/>
  <c r="AG27" i="16" s="1"/>
  <c r="AG28" i="16" s="1"/>
  <c r="AG30" i="16" s="1"/>
  <c r="AG103" i="16"/>
  <c r="AG104" i="16" s="1"/>
  <c r="AG106" i="16" s="1"/>
  <c r="AG117" i="16" s="1"/>
  <c r="AH36" i="17" l="1"/>
  <c r="AH39" i="17" s="1"/>
  <c r="AG8" i="16"/>
  <c r="AG7" i="16"/>
  <c r="AI11" i="17"/>
  <c r="AI15" i="17" s="1"/>
  <c r="AI18" i="17" l="1"/>
  <c r="AI27" i="17"/>
  <c r="AI36" i="17" s="1"/>
  <c r="AI39"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24" authorId="0" shapeId="0" xr:uid="{00000000-0006-0000-0100-000001000000}">
      <text>
        <r>
          <rPr>
            <sz val="10"/>
            <color indexed="81"/>
            <rFont val="Arial"/>
            <family val="2"/>
          </rPr>
          <t>o/w income of +71.0 due to the recognition of tax credits in Brazil, net of the associated legal expenses</t>
        </r>
      </text>
    </comment>
    <comment ref="F24" authorId="0" shapeId="0" xr:uid="{00000000-0006-0000-0100-000002000000}">
      <text>
        <r>
          <rPr>
            <sz val="10"/>
            <color indexed="81"/>
            <rFont val="Arial"/>
            <family val="2"/>
          </rPr>
          <t xml:space="preserve">o/w -59.8 of direct operating costs linked to the COVID-19 </t>
        </r>
      </text>
    </comment>
    <comment ref="G24" authorId="0" shapeId="0" xr:uid="{00000000-0006-0000-0100-000003000000}">
      <text>
        <r>
          <rPr>
            <sz val="10"/>
            <color indexed="81"/>
            <rFont val="Arial"/>
            <family val="2"/>
          </rPr>
          <t xml:space="preserve">o/w -18.9 of direct operating costs linked to the COVID-19 </t>
        </r>
      </text>
    </comment>
    <comment ref="E29" authorId="0" shapeId="0" xr:uid="{00000000-0006-0000-0100-000004000000}">
      <text>
        <r>
          <rPr>
            <sz val="10"/>
            <color indexed="81"/>
            <rFont val="Arial"/>
            <family val="2"/>
          </rPr>
          <t>o/w +107.3 of financial income deriving from Brazilian tax credits</t>
        </r>
      </text>
    </comment>
    <comment ref="E30" authorId="0" shapeId="0" xr:uid="{00000000-0006-0000-0100-000005000000}">
      <text>
        <r>
          <rPr>
            <sz val="10"/>
            <color indexed="81"/>
            <rFont val="Arial"/>
            <family val="2"/>
          </rPr>
          <t>o/w -34.5 of Brazilian tax credits impact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R24" authorId="0" shapeId="0" xr:uid="{00000000-0006-0000-0200-000001000000}">
      <text>
        <r>
          <rPr>
            <sz val="10"/>
            <color indexed="81"/>
            <rFont val="Arial"/>
            <family val="2"/>
          </rPr>
          <t>o/w income of +71.8 due to the recognition of tax credits in Brazil, net of the associated legal expenses</t>
        </r>
      </text>
    </comment>
    <comment ref="S24" authorId="0" shapeId="0" xr:uid="{00000000-0006-0000-0200-000002000000}">
      <text>
        <r>
          <rPr>
            <sz val="10"/>
            <color indexed="81"/>
            <rFont val="Arial"/>
            <family val="2"/>
          </rPr>
          <t>o/w income of +71.8 due to the recognition of tax credits in Brazil, net of the associated legal expenses</t>
        </r>
      </text>
    </comment>
    <comment ref="T24" authorId="0" shapeId="0" xr:uid="{00000000-0006-0000-0200-000003000000}">
      <text>
        <r>
          <rPr>
            <sz val="10"/>
            <color indexed="81"/>
            <rFont val="Arial"/>
            <family val="2"/>
          </rPr>
          <t>o/w income of +71.8 due to the recognition of tax credits in Brazil, net of the associated legal expenses</t>
        </r>
      </text>
    </comment>
    <comment ref="U24" authorId="0" shapeId="0" xr:uid="{00000000-0006-0000-0200-000004000000}">
      <text>
        <r>
          <rPr>
            <sz val="10"/>
            <color indexed="81"/>
            <rFont val="Arial"/>
            <family val="2"/>
          </rPr>
          <t>o/w income of +71.8 due to the recognition of tax credits in Brazil, net of the associated legal expenses</t>
        </r>
      </text>
    </comment>
    <comment ref="V24" authorId="0" shapeId="0" xr:uid="{00000000-0006-0000-0200-000005000000}">
      <text>
        <r>
          <rPr>
            <sz val="10"/>
            <color indexed="81"/>
            <rFont val="Arial"/>
            <family val="2"/>
          </rPr>
          <t>o/w income of -0.8 due to the recognition of tax credits in Brazil, net of the associated legal expenses</t>
        </r>
      </text>
    </comment>
    <comment ref="W24" authorId="0" shapeId="0" xr:uid="{00000000-0006-0000-0200-000006000000}">
      <text>
        <r>
          <rPr>
            <sz val="10"/>
            <color indexed="81"/>
            <rFont val="Arial"/>
            <family val="2"/>
          </rPr>
          <t>o/w income of +71.0 due to the recognition of tax credits in Brazil, net of the associated legal expenses</t>
        </r>
      </text>
    </comment>
    <comment ref="X24" authorId="0" shapeId="0" xr:uid="{00000000-0006-0000-0200-000007000000}">
      <text>
        <r>
          <rPr>
            <sz val="10"/>
            <color indexed="81"/>
            <rFont val="Arial"/>
            <family val="2"/>
          </rPr>
          <t xml:space="preserve">o/w -5.4 of direct operating costs linked to the COVID-19 </t>
        </r>
      </text>
    </comment>
    <comment ref="Y24" authorId="0" shapeId="0" xr:uid="{00000000-0006-0000-0200-000008000000}">
      <text>
        <r>
          <rPr>
            <sz val="10"/>
            <color indexed="81"/>
            <rFont val="Arial"/>
            <family val="2"/>
            <scheme val="major"/>
          </rPr>
          <t xml:space="preserve">o/w -21.0 of direct operating costs linked to the COVID-19 </t>
        </r>
      </text>
    </comment>
    <comment ref="Z24" authorId="0" shapeId="0" xr:uid="{00000000-0006-0000-0200-000009000000}">
      <text>
        <r>
          <rPr>
            <sz val="10"/>
            <color indexed="81"/>
            <rFont val="Arial"/>
            <family val="2"/>
          </rPr>
          <t xml:space="preserve">o/w -26.4 of direct operating costs linked to the COVID-19 </t>
        </r>
      </text>
    </comment>
    <comment ref="AA24" authorId="0" shapeId="0" xr:uid="{00000000-0006-0000-0200-00000A000000}">
      <text>
        <r>
          <rPr>
            <sz val="10"/>
            <color indexed="81"/>
            <rFont val="Arial"/>
            <family val="2"/>
            <scheme val="major"/>
          </rPr>
          <t xml:space="preserve">o/w -6.1 of direct operating costs linked to the COVID-19 </t>
        </r>
      </text>
    </comment>
    <comment ref="AB24" authorId="0" shapeId="0" xr:uid="{00000000-0006-0000-0200-00000B000000}">
      <text>
        <r>
          <rPr>
            <sz val="10"/>
            <color indexed="81"/>
            <rFont val="Arial"/>
            <family val="2"/>
          </rPr>
          <t xml:space="preserve">o/w -32.6 of direct operating costs linked to the COVID-19 </t>
        </r>
      </text>
    </comment>
    <comment ref="AC24" authorId="0" shapeId="0" xr:uid="{00000000-0006-0000-0200-00000C000000}">
      <text>
        <r>
          <rPr>
            <sz val="10"/>
            <color indexed="81"/>
            <rFont val="Arial"/>
            <family val="2"/>
            <scheme val="major"/>
          </rPr>
          <t xml:space="preserve">o/w -27.6 of direct operating costs linked to the COVID-19 </t>
        </r>
      </text>
    </comment>
    <comment ref="AD24" authorId="0" shapeId="0" xr:uid="{00000000-0006-0000-0200-00000D000000}">
      <text>
        <r>
          <rPr>
            <sz val="10"/>
            <color indexed="81"/>
            <rFont val="Arial"/>
            <family val="2"/>
            <scheme val="major"/>
          </rPr>
          <t xml:space="preserve">o/w -59.8 of direct operating costs linked to the COVID-19 </t>
        </r>
      </text>
    </comment>
    <comment ref="AE24" authorId="0" shapeId="0" xr:uid="{00000000-0006-0000-0200-00000E000000}">
      <text>
        <r>
          <rPr>
            <sz val="10"/>
            <color indexed="81"/>
            <rFont val="Arial"/>
            <family val="2"/>
          </rPr>
          <t xml:space="preserve">o/w -3.6 of direct operating costs linked to the COVID-19 </t>
        </r>
      </text>
    </comment>
    <comment ref="AF24" authorId="0" shapeId="0" xr:uid="{00000000-0006-0000-0200-00000F000000}">
      <text>
        <r>
          <rPr>
            <sz val="10"/>
            <color indexed="81"/>
            <rFont val="Arial"/>
            <family val="2"/>
            <scheme val="major"/>
          </rPr>
          <t xml:space="preserve">o/w -5.1 of direct operating costs linked to the COVID-19 </t>
        </r>
      </text>
    </comment>
    <comment ref="AG24" authorId="0" shapeId="0" xr:uid="{00000000-0006-0000-0200-000010000000}">
      <text>
        <r>
          <rPr>
            <sz val="10"/>
            <color indexed="81"/>
            <rFont val="Arial"/>
            <family val="2"/>
          </rPr>
          <t xml:space="preserve">o/w -8.7 of direct operating costs linked to the COVID-19 </t>
        </r>
      </text>
    </comment>
    <comment ref="AH24" authorId="0" shapeId="0" xr:uid="{00000000-0006-0000-0200-000011000000}">
      <text>
        <r>
          <rPr>
            <sz val="10"/>
            <color indexed="81"/>
            <rFont val="Arial"/>
            <family val="2"/>
            <scheme val="major"/>
          </rPr>
          <t xml:space="preserve">o/w -4.6 of direct operating costs linked to the COVID-19 </t>
        </r>
      </text>
    </comment>
    <comment ref="AI24" authorId="0" shapeId="0" xr:uid="{00000000-0006-0000-0200-000012000000}">
      <text>
        <r>
          <rPr>
            <sz val="10"/>
            <color indexed="81"/>
            <rFont val="Arial"/>
            <family val="2"/>
          </rPr>
          <t xml:space="preserve">o/w -13.3 of direct operating costs linked to the COVID-19 </t>
        </r>
      </text>
    </comment>
    <comment ref="AJ24" authorId="0" shapeId="0" xr:uid="{00000000-0006-0000-0200-000013000000}">
      <text>
        <r>
          <rPr>
            <sz val="10"/>
            <color indexed="81"/>
            <rFont val="Arial"/>
            <family val="2"/>
            <scheme val="major"/>
          </rPr>
          <t xml:space="preserve">o/w -27.6 of direct operating costs linked to the COVID-19 </t>
        </r>
      </text>
    </comment>
    <comment ref="AK24" authorId="0" shapeId="0" xr:uid="{00000000-0006-0000-0200-000014000000}">
      <text>
        <r>
          <rPr>
            <sz val="10"/>
            <color indexed="81"/>
            <rFont val="Arial"/>
            <family val="2"/>
            <scheme val="major"/>
          </rPr>
          <t xml:space="preserve">o/w -18.9 of direct operating costs linked to the COVID-19 </t>
        </r>
      </text>
    </comment>
    <comment ref="R29" authorId="0" shapeId="0" xr:uid="{00000000-0006-0000-0200-000016000000}">
      <text>
        <r>
          <rPr>
            <sz val="10"/>
            <color indexed="81"/>
            <rFont val="Arial"/>
            <family val="2"/>
          </rPr>
          <t>o/w +99.8 of financial income deriving from Brazilian tax credits</t>
        </r>
      </text>
    </comment>
    <comment ref="S29" authorId="0" shapeId="0" xr:uid="{00000000-0006-0000-0200-000017000000}">
      <text>
        <r>
          <rPr>
            <sz val="10"/>
            <color indexed="81"/>
            <rFont val="Arial"/>
            <family val="2"/>
          </rPr>
          <t>o/w +99.8 of financial income deriving from Brazilian tax credits</t>
        </r>
      </text>
    </comment>
    <comment ref="T29" authorId="0" shapeId="0" xr:uid="{00000000-0006-0000-0200-000018000000}">
      <text>
        <r>
          <rPr>
            <sz val="10"/>
            <color indexed="81"/>
            <rFont val="Arial"/>
            <family val="2"/>
          </rPr>
          <t>o/w +0.8 of financial income deriving from Brazilian tax credits</t>
        </r>
      </text>
    </comment>
    <comment ref="U29" authorId="0" shapeId="0" xr:uid="{00000000-0006-0000-0200-000019000000}">
      <text>
        <r>
          <rPr>
            <sz val="10"/>
            <color indexed="81"/>
            <rFont val="Arial"/>
            <family val="2"/>
          </rPr>
          <t>o/w +100.6 of financial income deriving from Brazilian tax credits</t>
        </r>
      </text>
    </comment>
    <comment ref="V29" authorId="0" shapeId="0" xr:uid="{00000000-0006-0000-0200-00001A000000}">
      <text>
        <r>
          <rPr>
            <sz val="10"/>
            <color indexed="81"/>
            <rFont val="Arial"/>
            <family val="2"/>
          </rPr>
          <t>o/w +6.7 of financial income deriving from Brazilian tax credits</t>
        </r>
      </text>
    </comment>
    <comment ref="W29" authorId="0" shapeId="0" xr:uid="{00000000-0006-0000-0200-00001B000000}">
      <text>
        <r>
          <rPr>
            <sz val="10"/>
            <color indexed="81"/>
            <rFont val="Arial"/>
            <family val="2"/>
          </rPr>
          <t>o/w +107.3 of financial income deriving from Brazilian tax credits</t>
        </r>
      </text>
    </comment>
    <comment ref="V30" authorId="0" shapeId="0" xr:uid="{00000000-0006-0000-0200-00001C000000}">
      <text>
        <r>
          <rPr>
            <sz val="10"/>
            <color indexed="81"/>
            <rFont val="Arial"/>
            <family val="2"/>
          </rPr>
          <t>o/w -34.5 of Brazilian tax credits impact</t>
        </r>
      </text>
    </comment>
    <comment ref="W30" authorId="0" shapeId="0" xr:uid="{00000000-0006-0000-0200-00001D000000}">
      <text>
        <r>
          <rPr>
            <sz val="10"/>
            <color indexed="81"/>
            <rFont val="Arial"/>
            <family val="2"/>
          </rPr>
          <t>o/w -34.5 of Brazilian tax credits impact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17" authorId="0" shapeId="0" xr:uid="{21B71769-AA54-41FD-8922-B654B27FA0AB}">
      <text>
        <r>
          <rPr>
            <sz val="9"/>
            <color indexed="81"/>
            <rFont val="Tahoma"/>
            <family val="2"/>
          </rPr>
          <t>including:
• +110 of cost-cutting Covid
• -78 of slowdown</t>
        </r>
      </text>
    </comment>
    <comment ref="G17" authorId="0" shapeId="0" xr:uid="{12DC37CE-B23F-4244-88A0-1874D576E7FE}">
      <text>
        <r>
          <rPr>
            <sz val="9"/>
            <color indexed="81"/>
            <rFont val="Tahoma"/>
            <family val="2"/>
          </rPr>
          <t>including:
• -80 of cost-cutting Covid reverse
• +49 of slowdown reverse
• -11 of D&amp;A
• -32 of R&amp;D / mktg expenses
• -51 of Mgmt incentives</t>
        </r>
      </text>
    </comment>
    <comment ref="H17" authorId="0" shapeId="0" xr:uid="{65C1CCF0-E8EE-4D2D-9300-EB65E66604A2}">
      <text>
        <r>
          <rPr>
            <sz val="9"/>
            <color indexed="81"/>
            <rFont val="Tahoma"/>
            <family val="2"/>
          </rPr>
          <t xml:space="preserve">including:
• -30 of D&amp;A
• -10 of R&amp;D / mktg expenses
• +8 of Mgmt incentives
</t>
        </r>
      </text>
    </comment>
    <comment ref="I17" authorId="0" shapeId="0" xr:uid="{F79A8FF4-F20A-4773-B88A-988A59F5A688}">
      <text>
        <r>
          <rPr>
            <sz val="9"/>
            <color indexed="81"/>
            <rFont val="Tahoma"/>
            <family val="2"/>
          </rPr>
          <t xml:space="preserve">including:
• -32 of D&amp;A
• -24 of R&amp;D / mktg expenses
• +4 of Mgmt incentives
</t>
        </r>
      </text>
    </comment>
    <comment ref="J17" authorId="0" shapeId="0" xr:uid="{B63B6F6F-1F0A-4147-8D26-25BCE0BD2BF1}">
      <text>
        <r>
          <rPr>
            <sz val="9"/>
            <color indexed="81"/>
            <rFont val="Tahoma"/>
            <family val="2"/>
          </rPr>
          <t xml:space="preserve">including:
• -22.4 of D&amp;A
• -22.2 of R&amp;D / mktg expenses
• -11.7 of Mgmt incentives
</t>
        </r>
      </text>
    </comment>
    <comment ref="K17" authorId="0" shapeId="0" xr:uid="{428B146E-1C9B-4677-A11F-FC2134CE5C8B}">
      <text>
        <r>
          <rPr>
            <sz val="9"/>
            <color indexed="81"/>
            <rFont val="Tahoma"/>
            <family val="2"/>
          </rPr>
          <t>including:
• -26.1 of D&amp;A
• -55.0 of Gross Tariffs
• +21.9 of Other costs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M17" authorId="0" shapeId="0" xr:uid="{00000000-0006-0000-0600-000001000000}">
      <text>
        <r>
          <rPr>
            <sz val="10"/>
            <color theme="1"/>
            <rFont val="Arial"/>
            <family val="2"/>
          </rPr>
          <t>including +21 of cost-cutting</t>
        </r>
      </text>
    </comment>
    <comment ref="N17" authorId="0" shapeId="0" xr:uid="{00000000-0006-0000-0600-000002000000}">
      <text>
        <r>
          <rPr>
            <sz val="10"/>
            <color theme="1"/>
            <rFont val="Arial"/>
            <family val="2"/>
          </rPr>
          <t>including +21 of cost-cutting</t>
        </r>
      </text>
    </comment>
    <comment ref="O17" authorId="0" shapeId="0" xr:uid="{00000000-0006-0000-0600-000003000000}">
      <text>
        <r>
          <rPr>
            <sz val="10"/>
            <color theme="1"/>
            <rFont val="Arial"/>
            <family val="2"/>
          </rPr>
          <t>including +29 of cost-cutting</t>
        </r>
      </text>
    </comment>
    <comment ref="P17" authorId="0" shapeId="0" xr:uid="{00000000-0006-0000-0600-000004000000}">
      <text>
        <r>
          <rPr>
            <sz val="10"/>
            <color theme="1"/>
            <rFont val="Arial"/>
            <family val="2"/>
          </rPr>
          <t>including 50 of cost-cutting</t>
        </r>
      </text>
    </comment>
    <comment ref="Q17" authorId="0" shapeId="0" xr:uid="{00000000-0006-0000-0600-000005000000}">
      <text>
        <r>
          <rPr>
            <sz val="10"/>
            <color theme="1"/>
            <rFont val="Arial"/>
            <family val="2"/>
          </rPr>
          <t>including +13 of cost-cutting</t>
        </r>
      </text>
    </comment>
    <comment ref="R17" authorId="0" shapeId="0" xr:uid="{00000000-0006-0000-0600-000006000000}">
      <text>
        <r>
          <rPr>
            <sz val="10"/>
            <color theme="1"/>
            <rFont val="Arial"/>
            <family val="2"/>
          </rPr>
          <t>including +17 of cost-cutting</t>
        </r>
      </text>
    </comment>
    <comment ref="S17" authorId="0" shapeId="0" xr:uid="{00000000-0006-0000-0600-000007000000}">
      <text>
        <r>
          <rPr>
            <sz val="10"/>
            <color theme="1"/>
            <rFont val="Arial"/>
            <family val="2"/>
          </rPr>
          <t>including +30 of cost-cutting</t>
        </r>
      </text>
    </comment>
    <comment ref="T17" authorId="0" shapeId="0" xr:uid="{00000000-0006-0000-0600-000008000000}">
      <text>
        <r>
          <rPr>
            <sz val="10"/>
            <color theme="1"/>
            <rFont val="Arial"/>
            <family val="2"/>
          </rPr>
          <t>including:
• +10 of cost-cutting
• -10 of unabsorbed fixed costs</t>
        </r>
      </text>
    </comment>
    <comment ref="U17" authorId="0" shapeId="0" xr:uid="{00000000-0006-0000-0600-000009000000}">
      <text>
        <r>
          <rPr>
            <sz val="10"/>
            <color theme="1"/>
            <rFont val="Arial"/>
            <family val="2"/>
          </rPr>
          <t>including:
• +40 of cost-cutting
• -10 of unabsorbed fixed costs</t>
        </r>
      </text>
    </comment>
    <comment ref="V17" authorId="0" shapeId="0" xr:uid="{00000000-0006-0000-0600-00000A000000}">
      <text>
        <r>
          <rPr>
            <sz val="10"/>
            <color theme="1"/>
            <rFont val="Arial"/>
            <family val="2"/>
          </rPr>
          <t>including:
• +10 of cost-cutting
• -10 of unabsorbed fixed costs</t>
        </r>
      </text>
    </comment>
    <comment ref="W17" authorId="0" shapeId="0" xr:uid="{00000000-0006-0000-0600-00000B000000}">
      <text>
        <r>
          <rPr>
            <sz val="10"/>
            <color theme="1"/>
            <rFont val="Arial"/>
            <family val="2"/>
          </rPr>
          <t>including 50 of cost-cutting</t>
        </r>
      </text>
    </comment>
    <comment ref="X17" authorId="0" shapeId="0" xr:uid="{00000000-0006-0000-0600-00000C000000}">
      <text>
        <r>
          <rPr>
            <sz val="10"/>
            <color theme="1"/>
            <rFont val="Arial"/>
            <family val="2"/>
          </rPr>
          <t>including:
• +33 of cost-cutting Covid
• -16 of slowdown</t>
        </r>
      </text>
    </comment>
    <comment ref="Y17" authorId="0" shapeId="0" xr:uid="{00000000-0006-0000-0600-00000D000000}">
      <text>
        <r>
          <rPr>
            <sz val="10"/>
            <color theme="1"/>
            <rFont val="Arial"/>
            <family val="2"/>
          </rPr>
          <t>including:
• +29 of cost-cutting Covid
• -54 of slowdown</t>
        </r>
      </text>
    </comment>
    <comment ref="Z17" authorId="0" shapeId="0" xr:uid="{00000000-0006-0000-0600-00000E000000}">
      <text>
        <r>
          <rPr>
            <sz val="10"/>
            <color theme="1"/>
            <rFont val="Arial"/>
            <family val="2"/>
          </rPr>
          <t>including:
• +62 of cost-cutting Covid
• -71 of slowdown</t>
        </r>
      </text>
    </comment>
    <comment ref="AA17" authorId="0" shapeId="0" xr:uid="{00000000-0006-0000-0600-00000F000000}">
      <text>
        <r>
          <rPr>
            <sz val="10"/>
            <color theme="1"/>
            <rFont val="Arial"/>
            <family val="2"/>
          </rPr>
          <t>including:
• +29 of cost-cutting
• -8 of slowdown</t>
        </r>
      </text>
    </comment>
    <comment ref="AB17" authorId="0" shapeId="0" xr:uid="{00000000-0006-0000-0600-000010000000}">
      <text>
        <r>
          <rPr>
            <sz val="10"/>
            <color theme="1"/>
            <rFont val="Arial"/>
            <family val="2"/>
          </rPr>
          <t>including:
• +90 of cost-cutting
• -79 of slowdown</t>
        </r>
      </text>
    </comment>
    <comment ref="AC17" authorId="0" shapeId="0" xr:uid="{00000000-0006-0000-0600-000011000000}">
      <text>
        <r>
          <rPr>
            <sz val="10"/>
            <color theme="1"/>
            <rFont val="Arial"/>
            <family val="2"/>
          </rPr>
          <t>including:
• +20 of cost-cutting
• +1 of slowdown</t>
        </r>
      </text>
    </comment>
    <comment ref="AD17" authorId="0" shapeId="0" xr:uid="{00000000-0006-0000-0600-000012000000}">
      <text>
        <r>
          <rPr>
            <sz val="10"/>
            <color theme="1"/>
            <rFont val="Arial"/>
            <family val="2"/>
          </rPr>
          <t>including:
• +110 of cost-cutting
• -78 of unabsorbed fixed costs</t>
        </r>
      </text>
    </comment>
    <comment ref="AE17" authorId="0" shapeId="0" xr:uid="{00000000-0006-0000-0600-000013000000}">
      <text>
        <r>
          <rPr>
            <sz val="10"/>
            <color theme="1"/>
            <rFont val="Arial"/>
            <family val="2"/>
          </rPr>
          <t>including:
• -25 of cost-cutting Covid reverse
• +10 of slowdown reverse
• -4 of D&amp;A
• -27 of R&amp;D / mktg expenses</t>
        </r>
      </text>
    </comment>
    <comment ref="AF17" authorId="0" shapeId="0" xr:uid="{00000000-0006-0000-0600-000014000000}">
      <text>
        <r>
          <rPr>
            <sz val="10"/>
            <color theme="1"/>
            <rFont val="Arial"/>
            <family val="2"/>
          </rPr>
          <t>including:
• -29 of cost-cutting Covid reverse
• +34 of slowdown reverse
• -2 of D&amp;A
• -5 of R&amp;D / mktg expenses
• -13 of Mgmt incentives</t>
        </r>
      </text>
    </comment>
    <comment ref="AG17" authorId="0" shapeId="0" xr:uid="{00000000-0006-0000-0600-000015000000}">
      <text>
        <r>
          <rPr>
            <sz val="10"/>
            <color theme="1"/>
            <rFont val="Arial"/>
            <family val="2"/>
          </rPr>
          <t>including:
• -54 of cost-cutting Covid reverse
• +44 of slowdown reverse
• -6 of D&amp;A
• -32 of R&amp;D / mktg expenses
• -23 of Mgmt incentives</t>
        </r>
      </text>
    </comment>
    <comment ref="AH17" authorId="0" shapeId="0" xr:uid="{00000000-0006-0000-0600-000016000000}">
      <text>
        <r>
          <rPr>
            <sz val="10"/>
            <color theme="1"/>
            <rFont val="Arial"/>
            <family val="2"/>
          </rPr>
          <t>including:
• -16 of cost-cutting Covid reverse
• +4 of slowdown reverse
• -2 of D&amp;A
• -1 of R&amp;D / mktg expenses
• -13 of Mgmt incentives</t>
        </r>
      </text>
    </comment>
    <comment ref="AI17" authorId="0" shapeId="0" xr:uid="{00000000-0006-0000-0600-000017000000}">
      <text>
        <r>
          <rPr>
            <sz val="10"/>
            <color theme="1"/>
            <rFont val="Arial"/>
            <family val="2"/>
          </rPr>
          <t>including:
• -71 of cost-cutting Covid reverse
• +48 of slowdown reverse
• -8 of D&amp;A
• -33 of R&amp;D / mktg expenses
• -37 of Mgmt incentives</t>
        </r>
      </text>
    </comment>
    <comment ref="AJ17" authorId="0" shapeId="0" xr:uid="{00000000-0006-0000-0600-000018000000}">
      <text>
        <r>
          <rPr>
            <sz val="10"/>
            <color theme="1"/>
            <rFont val="Arial"/>
            <family val="2"/>
          </rPr>
          <t>including:
• -9 of cost-cutting Covid reverse
• +1 of slowdown reverse
• -3 of D&amp;A
• +1 of R&amp;D / mktg expenses
• -15 of Mgmt incentives</t>
        </r>
      </text>
    </comment>
    <comment ref="AK17" authorId="0" shapeId="0" xr:uid="{00000000-0006-0000-0600-000019000000}">
      <text>
        <r>
          <rPr>
            <sz val="10"/>
            <color theme="1"/>
            <rFont val="Arial"/>
            <family val="2"/>
          </rPr>
          <t>including:
• -80 of cost-cutting Covid reverse
• +49 of slowdown reverse
• -11 of D&amp;A
• -32 of R&amp;D / mktg expenses
• -51 of Mgmt incentives</t>
        </r>
      </text>
    </comment>
    <comment ref="AL17" authorId="0" shapeId="0" xr:uid="{00000000-0006-0000-0600-00001A000000}">
      <text>
        <r>
          <rPr>
            <sz val="10"/>
            <color theme="1"/>
            <rFont val="Arial"/>
            <family val="2"/>
          </rPr>
          <t>including:
• -5 of D&amp;A
• +7 of R&amp;D / mktg expenses</t>
        </r>
      </text>
    </comment>
    <comment ref="AM17" authorId="0" shapeId="0" xr:uid="{00000000-0006-0000-0600-00001B000000}">
      <text>
        <r>
          <rPr>
            <sz val="9"/>
            <color indexed="81"/>
            <rFont val="Tahoma"/>
            <family val="2"/>
          </rPr>
          <t>including:
• -5 of D&amp;A
• -5 of R&amp;D / mktg expenses</t>
        </r>
      </text>
    </comment>
    <comment ref="AN17" authorId="0" shapeId="0" xr:uid="{00000000-0006-0000-0600-00001C000000}">
      <text>
        <r>
          <rPr>
            <sz val="9"/>
            <color indexed="81"/>
            <rFont val="Tahoma"/>
            <family val="2"/>
          </rPr>
          <t>including:
• -10 of D&amp;A
• +2 of R&amp;D / mktg expenses</t>
        </r>
      </text>
    </comment>
    <comment ref="AO17" authorId="0" shapeId="0" xr:uid="{00000000-0006-0000-0600-00001D000000}">
      <text>
        <r>
          <rPr>
            <sz val="10"/>
            <color theme="1"/>
            <rFont val="Arial"/>
            <family val="2"/>
          </rPr>
          <t xml:space="preserve">including:
• -10 D&amp;A
• -24 Other costs 
</t>
        </r>
      </text>
    </comment>
    <comment ref="AP17" authorId="0" shapeId="0" xr:uid="{00000000-0006-0000-0600-00001E000000}">
      <text>
        <r>
          <rPr>
            <sz val="10"/>
            <color theme="1"/>
            <rFont val="Arial"/>
            <family val="2"/>
          </rPr>
          <t>including:
• -19.73 D&amp;A
• -24.83 Other costs</t>
        </r>
      </text>
    </comment>
    <comment ref="AQ17" authorId="0" shapeId="0" xr:uid="{3B81B11C-349A-4FF2-B0DD-35EEE3200516}">
      <text>
        <r>
          <rPr>
            <sz val="10"/>
            <color theme="1"/>
            <rFont val="Arial"/>
            <family val="2"/>
          </rPr>
          <t>including:
• -10 of D&amp;A</t>
        </r>
      </text>
    </comment>
    <comment ref="AR17" authorId="0" shapeId="0" xr:uid="{35F3FEFB-1DD6-4978-8919-6BA4AC79CDFF}">
      <text>
        <r>
          <rPr>
            <sz val="10"/>
            <color theme="1"/>
            <rFont val="Arial"/>
            <family val="2"/>
          </rPr>
          <t>including:
• -30 d&amp;a
• -25 Other Costs</t>
        </r>
      </text>
    </comment>
    <comment ref="AS17" authorId="0" shapeId="0" xr:uid="{A55B7C91-92F9-41E1-86FF-F6BFCE63719D}">
      <text>
        <r>
          <rPr>
            <sz val="9"/>
            <color theme="1"/>
            <rFont val="Arial"/>
            <family val="2"/>
            <scheme val="minor"/>
          </rPr>
          <t>D&amp;A</t>
        </r>
      </text>
    </comment>
    <comment ref="AT17" authorId="0" shapeId="0" xr:uid="{B2A3E5C4-2DED-4120-A89E-1D91C9477904}">
      <text>
        <r>
          <rPr>
            <sz val="9"/>
            <color indexed="81"/>
            <rFont val="Tahoma"/>
            <family val="2"/>
          </rPr>
          <t>including:
• -10 of D&amp;A
• -13 other</t>
        </r>
      </text>
    </comment>
    <comment ref="AU17" authorId="0" shapeId="0" xr:uid="{65AF91A1-3A9F-447D-A650-84EEF543667C}">
      <text>
        <r>
          <rPr>
            <sz val="9"/>
            <color indexed="81"/>
            <rFont val="Tahoma"/>
            <family val="2"/>
          </rPr>
          <t>including:
• -16 D&amp;A
• -14 Other</t>
        </r>
      </text>
    </comment>
    <comment ref="AV17" authorId="0" shapeId="0" xr:uid="{83C0720E-CD28-471A-91A5-6086CE212892}">
      <text>
        <r>
          <rPr>
            <sz val="9"/>
            <color indexed="81"/>
            <rFont val="Tahoma"/>
            <family val="2"/>
          </rPr>
          <t>including:
• -10 of D&amp;A
• -5 other</t>
        </r>
      </text>
    </comment>
    <comment ref="AW17" authorId="0" shapeId="0" xr:uid="{8452720A-E9BC-42C4-9951-1A9417133862}">
      <text>
        <r>
          <rPr>
            <sz val="9"/>
            <color indexed="81"/>
            <rFont val="Tahoma"/>
            <family val="2"/>
          </rPr>
          <t>including:
• -26 D&amp;A
• -19 Other</t>
        </r>
      </text>
    </comment>
    <comment ref="AX17" authorId="0" shapeId="0" xr:uid="{744775C2-E8AC-44B6-92A8-CFD4E421F5F2}">
      <text>
        <r>
          <rPr>
            <sz val="9"/>
            <color indexed="81"/>
            <rFont val="Tahoma"/>
            <family val="2"/>
          </rPr>
          <t>including:
• -6 of D&amp;A
• -13 other</t>
        </r>
      </text>
    </comment>
    <comment ref="AY17" authorId="0" shapeId="0" xr:uid="{77EDE321-0E8F-40F0-A1FB-EF8ABCF9338B}">
      <text>
        <r>
          <rPr>
            <sz val="9"/>
            <color indexed="81"/>
            <rFont val="Tahoma"/>
            <family val="2"/>
          </rPr>
          <t>including:
• -32 D&amp;A
• -31 Other</t>
        </r>
      </text>
    </comment>
    <comment ref="AZ17" authorId="0" shapeId="0" xr:uid="{1CC0F656-5957-4ECD-B060-EA1C14198A43}">
      <text>
        <r>
          <rPr>
            <sz val="9"/>
            <color theme="1"/>
            <rFont val="Arial"/>
            <family val="2"/>
            <scheme val="minor"/>
          </rPr>
          <t>including:
• -7 of D&amp;A
• -14 other</t>
        </r>
      </text>
    </comment>
    <comment ref="BA17" authorId="0" shapeId="0" xr:uid="{F1759A2B-CFC5-43FE-8F46-82EDC77E00EF}">
      <text>
        <r>
          <rPr>
            <sz val="9"/>
            <color indexed="81"/>
            <rFont val="Tahoma"/>
            <family val="2"/>
          </rPr>
          <t>including:
• -7 D&amp;A
• -11 other</t>
        </r>
      </text>
    </comment>
    <comment ref="BB17" authorId="0" shapeId="0" xr:uid="{E8C25B0B-2076-4785-AF6A-4CF81D006B07}">
      <text>
        <r>
          <rPr>
            <sz val="9"/>
            <color indexed="81"/>
            <rFont val="Tahoma"/>
            <family val="2"/>
          </rPr>
          <t>including:
• -14 D&amp;A
• -25 Other</t>
        </r>
      </text>
    </comment>
    <comment ref="BC17" authorId="0" shapeId="0" xr:uid="{2C0D24A6-9ED3-476B-BB77-19358C233A91}">
      <text>
        <r>
          <rPr>
            <sz val="9"/>
            <color indexed="81"/>
            <rFont val="Tahoma"/>
            <family val="2"/>
          </rPr>
          <t>including:
• -10 of D&amp;A
• -5 other</t>
        </r>
      </text>
    </comment>
    <comment ref="BD17" authorId="0" shapeId="0" xr:uid="{FBADAD3F-8B3D-49DB-BAD4-6DBC0E471339}">
      <text>
        <r>
          <rPr>
            <sz val="9"/>
            <color indexed="81"/>
            <rFont val="Tahoma"/>
            <family val="2"/>
          </rPr>
          <t>including:
• -17.8 D&amp;A
• -32.9 Other</t>
        </r>
      </text>
    </comment>
    <comment ref="BE17" authorId="0" shapeId="0" xr:uid="{51646716-8AD3-45F5-8AFC-C1DD9640E09A}">
      <text>
        <r>
          <rPr>
            <sz val="9"/>
            <color indexed="81"/>
            <rFont val="Tahoma"/>
            <family val="2"/>
          </rPr>
          <t>including:
• -4.6 of D&amp;A
• +3.2 other</t>
        </r>
      </text>
    </comment>
    <comment ref="BF17" authorId="0" shapeId="0" xr:uid="{30C558ED-A37C-4170-A343-34AD895ACEDC}">
      <text>
        <r>
          <rPr>
            <sz val="9"/>
            <color indexed="81"/>
            <rFont val="Tahoma"/>
            <family val="2"/>
          </rPr>
          <t>including:
• -22.4 of D&amp;A
• -30.0 other</t>
        </r>
      </text>
    </comment>
    <comment ref="BG17" authorId="0" shapeId="0" xr:uid="{249F5FAA-4CE2-4117-B82D-596FC8E32CC7}">
      <text>
        <r>
          <rPr>
            <sz val="9"/>
            <color theme="1"/>
            <rFont val="Arial"/>
            <family val="2"/>
            <scheme val="minor"/>
          </rPr>
          <t>including:
• -8 of D&amp;A
• -5 other</t>
        </r>
      </text>
    </comment>
    <comment ref="BH17" authorId="0" shapeId="0" xr:uid="{68D6E076-E806-45DC-92A5-B3EE49670EA0}">
      <text>
        <r>
          <rPr>
            <sz val="9"/>
            <color indexed="81"/>
            <rFont val="Tahoma"/>
            <family val="2"/>
          </rPr>
          <t>including:
• -6 D&amp;A
• +1 other</t>
        </r>
      </text>
    </comment>
    <comment ref="BI17" authorId="0" shapeId="0" xr:uid="{24766CC2-D72B-43DF-A18E-347BABE88C00}">
      <text>
        <r>
          <rPr>
            <sz val="9"/>
            <color indexed="81"/>
            <rFont val="Tahoma"/>
            <family val="2"/>
          </rPr>
          <t>including:
• -15 D&amp;A
• -4 Other</t>
        </r>
      </text>
    </comment>
    <comment ref="BJ17" authorId="0" shapeId="0" xr:uid="{A01CC567-154D-4E2F-8D3E-A6E04A737778}">
      <text>
        <r>
          <rPr>
            <sz val="9"/>
            <color indexed="81"/>
            <rFont val="Tahoma"/>
            <family val="2"/>
          </rPr>
          <t>including:
• -7 D&amp;A
• -6 other</t>
        </r>
      </text>
    </comment>
    <comment ref="BK17" authorId="0" shapeId="0" xr:uid="{2B0ABB77-F52D-4B07-8BA9-3A2076C7DF60}">
      <text>
        <r>
          <rPr>
            <sz val="9"/>
            <color indexed="81"/>
            <rFont val="Tahoma"/>
            <family val="2"/>
          </rPr>
          <t>including:
• -21 D&amp;A
• -10 Other</t>
        </r>
      </text>
    </comment>
    <comment ref="BM17" authorId="0" shapeId="0" xr:uid="{28EE96B8-19A1-4E56-8695-6DD478DF8D1C}">
      <text>
        <r>
          <rPr>
            <sz val="9"/>
            <color indexed="81"/>
            <rFont val="Tahoma"/>
            <family val="2"/>
          </rPr>
          <t xml:space="preserve">including:
• -26.1 of D&amp;A
• -55.0 of Gross Tariffs
• +21.9 of Other costs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95" authorId="0" shapeId="0" xr:uid="{00000000-0006-0000-0700-000001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E97" authorId="0" shapeId="0" xr:uid="{00000000-0006-0000-0700-000002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K95" authorId="0" shapeId="0" xr:uid="{00000000-0006-0000-0800-000001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L95" authorId="0" shapeId="0" xr:uid="{00000000-0006-0000-0800-000002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M95" authorId="0" shapeId="0" xr:uid="{00000000-0006-0000-0800-000003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N95" authorId="0" shapeId="0" xr:uid="{00000000-0006-0000-0800-000004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O95" authorId="0" shapeId="0" xr:uid="{00000000-0006-0000-0800-000005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P95" authorId="0" shapeId="0" xr:uid="{00000000-0006-0000-0800-000006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Q95" authorId="0" shapeId="0" xr:uid="{00000000-0006-0000-0800-000007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S95" authorId="0" shapeId="0" xr:uid="{00000000-0006-0000-0800-000008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T95" authorId="0" shapeId="0" xr:uid="{00000000-0006-0000-0800-000009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U95" authorId="0" shapeId="0" xr:uid="{00000000-0006-0000-0800-00000A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K97" authorId="0" shapeId="0" xr:uid="{00000000-0006-0000-0800-00000B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L97" authorId="0" shapeId="0" xr:uid="{00000000-0006-0000-0800-00000C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M97" authorId="0" shapeId="0" xr:uid="{00000000-0006-0000-0800-00000D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N97" authorId="0" shapeId="0" xr:uid="{00000000-0006-0000-0800-00000E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O97" authorId="0" shapeId="0" xr:uid="{00000000-0006-0000-0800-00000F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P97" authorId="0" shapeId="0" xr:uid="{00000000-0006-0000-0800-000010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Q97" authorId="0" shapeId="0" xr:uid="{00000000-0006-0000-0800-000011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S97" authorId="0" shapeId="0" xr:uid="{00000000-0006-0000-0800-000012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T97" authorId="0" shapeId="0" xr:uid="{00000000-0006-0000-0800-000013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 ref="U97" authorId="0" shapeId="0" xr:uid="{00000000-0006-0000-0800-000014000000}">
      <text>
        <r>
          <rPr>
            <b/>
            <sz val="10"/>
            <color indexed="81"/>
            <rFont val="Arial"/>
            <family val="2"/>
          </rPr>
          <t>Only for Pirelli in Figures purposes</t>
        </r>
        <r>
          <rPr>
            <sz val="10"/>
            <color indexed="81"/>
            <rFont val="Arial"/>
            <family val="2"/>
          </rPr>
          <t xml:space="preserve"> and in order to ensure comparability between quartes, CapEx payables have been reclassified from Other to Trade payables.
</t>
        </r>
        <r>
          <rPr>
            <b/>
            <sz val="10"/>
            <color indexed="81"/>
            <rFont val="Arial"/>
            <family val="2"/>
          </rPr>
          <t>Reported IAS Statement</t>
        </r>
        <r>
          <rPr>
            <sz val="10"/>
            <color indexed="81"/>
            <rFont val="Arial"/>
            <family val="2"/>
          </rPr>
          <t xml:space="preserve"> of Financial Position </t>
        </r>
        <r>
          <rPr>
            <b/>
            <sz val="10"/>
            <color indexed="81"/>
            <rFont val="Arial"/>
            <family val="2"/>
          </rPr>
          <t>has not been restated</t>
        </r>
        <r>
          <rPr>
            <sz val="10"/>
            <color indexed="81"/>
            <rFont val="Arial"/>
            <family val="2"/>
          </rPr>
          <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54" authorId="0" shapeId="0" xr:uid="{00000000-0006-0000-0900-000001000000}">
      <text>
        <r>
          <rPr>
            <sz val="10"/>
            <color indexed="81"/>
            <rFont val="Arial"/>
            <family val="2"/>
          </rPr>
          <t>including the reversal of income on tax credits Brazil</t>
        </r>
      </text>
    </comment>
    <comment ref="A62" authorId="0" shapeId="0" xr:uid="{00000000-0006-0000-0900-000002000000}">
      <text>
        <r>
          <rPr>
            <sz val="10"/>
            <color theme="1"/>
            <rFont val="Arial"/>
            <family val="2"/>
            <scheme val="minor"/>
          </rPr>
          <t>IAS line "Investments in owned tangible assets" includes both Investmens in tangible assets and change in payable for investments in tangible assets</t>
        </r>
      </text>
    </comment>
    <comment ref="A63" authorId="0" shapeId="0" xr:uid="{00000000-0006-0000-0900-000003000000}">
      <text>
        <r>
          <rPr>
            <sz val="10"/>
            <color theme="1"/>
            <rFont val="Arial"/>
            <family val="2"/>
            <scheme val="minor"/>
          </rPr>
          <t>IAS line "Investments in owned tangible assets" includes both Investmens in tangible assets and change in payable for investments in tangible assets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L62" authorId="0" shapeId="0" xr:uid="{00000000-0006-0000-0A00-000001000000}">
      <text>
        <r>
          <rPr>
            <sz val="10"/>
            <color indexed="81"/>
            <rFont val="Arial"/>
            <family val="2"/>
          </rPr>
          <t>including the reversal of income on tax credits Brazil</t>
        </r>
      </text>
    </comment>
    <comment ref="M62" authorId="0" shapeId="0" xr:uid="{00000000-0006-0000-0A00-000002000000}">
      <text>
        <r>
          <rPr>
            <sz val="10"/>
            <color indexed="81"/>
            <rFont val="Arial"/>
            <family val="2"/>
          </rPr>
          <t>including the reversal of income on tax credits Brazil</t>
        </r>
      </text>
    </comment>
    <comment ref="N62" authorId="0" shapeId="0" xr:uid="{00000000-0006-0000-0A00-000003000000}">
      <text>
        <r>
          <rPr>
            <sz val="10"/>
            <color indexed="81"/>
            <rFont val="Arial"/>
            <family val="2"/>
          </rPr>
          <t>including the reversal of income on tax credits Brazil</t>
        </r>
      </text>
    </comment>
    <comment ref="A70" authorId="0" shapeId="0" xr:uid="{00000000-0006-0000-0A00-000004000000}">
      <text>
        <r>
          <rPr>
            <sz val="10"/>
            <color theme="1"/>
            <rFont val="Arial"/>
            <family val="2"/>
            <scheme val="minor"/>
          </rPr>
          <t>IAS line "Investments in owned tangible assets" includes both Investmens in tangible assets and change in payable for investments in tangible assets</t>
        </r>
      </text>
    </comment>
    <comment ref="A71" authorId="0" shapeId="0" xr:uid="{00000000-0006-0000-0A00-000005000000}">
      <text>
        <r>
          <rPr>
            <sz val="10"/>
            <color theme="1"/>
            <rFont val="Arial"/>
            <family val="2"/>
            <scheme val="minor"/>
          </rPr>
          <t>IAS line "Investments in owned tangible assets" includes both Investmens in tangible assets and change in payable for investments in tangible assets</t>
        </r>
      </text>
    </comment>
  </commentList>
</comments>
</file>

<file path=xl/sharedStrings.xml><?xml version="1.0" encoding="utf-8"?>
<sst xmlns="http://schemas.openxmlformats.org/spreadsheetml/2006/main" count="1415" uniqueCount="362">
  <si>
    <t>Property, plant and equipment</t>
  </si>
  <si>
    <t>Intangible assets</t>
  </si>
  <si>
    <t>Assets held for sale</t>
  </si>
  <si>
    <t>Total Assets</t>
  </si>
  <si>
    <t>Total Equity</t>
  </si>
  <si>
    <t>Non-current liabilities</t>
  </si>
  <si>
    <t>Current liabilities</t>
  </si>
  <si>
    <t>Liabilities related to assets held for sale</t>
  </si>
  <si>
    <t>Total Liabilities and Equity</t>
  </si>
  <si>
    <t>I. Cash and cash equivalents at the end of the period (E+F+G+H)</t>
  </si>
  <si>
    <t>G. Exchange differences from translation of cash and cash equivalents</t>
  </si>
  <si>
    <t>EBIT</t>
  </si>
  <si>
    <t>o/w Standard</t>
  </si>
  <si>
    <t xml:space="preserve">o/w High Value </t>
  </si>
  <si>
    <t>Equity attributable to the Group</t>
  </si>
  <si>
    <t>Equity attributable to non-controlling interests</t>
  </si>
  <si>
    <t>Results from Equity Investments</t>
  </si>
  <si>
    <t>Taxes</t>
  </si>
  <si>
    <t>Net income (loss)</t>
  </si>
  <si>
    <t>Research &amp; Development costs</t>
  </si>
  <si>
    <t>Volumes</t>
  </si>
  <si>
    <t>Price/Mix</t>
  </si>
  <si>
    <t>Total</t>
  </si>
  <si>
    <t>Amortization of PPA</t>
  </si>
  <si>
    <t>o/w Minorities</t>
  </si>
  <si>
    <t>Start-up costs</t>
  </si>
  <si>
    <t>Net income (Loss) from discontinued operations</t>
  </si>
  <si>
    <t>Adjusted Taxes</t>
  </si>
  <si>
    <t>Investments</t>
  </si>
  <si>
    <t>Raw materials</t>
  </si>
  <si>
    <t>Efficiencies</t>
  </si>
  <si>
    <t>Other input costs</t>
  </si>
  <si>
    <t>Exchange rate</t>
  </si>
  <si>
    <t>D&amp;A / Other</t>
  </si>
  <si>
    <t>Adjusted EBIT bridge drivers</t>
  </si>
  <si>
    <t>Financial Investments</t>
  </si>
  <si>
    <t>Net operating working capital</t>
  </si>
  <si>
    <t>Inventories</t>
  </si>
  <si>
    <t>Trade receivables</t>
  </si>
  <si>
    <t>Trade payables</t>
  </si>
  <si>
    <t>Other payables / receivable</t>
  </si>
  <si>
    <t>Net Working Capital</t>
  </si>
  <si>
    <t>Net invested capital</t>
  </si>
  <si>
    <t>Net equity</t>
  </si>
  <si>
    <t>Provisions</t>
  </si>
  <si>
    <t>Net Financial Position</t>
  </si>
  <si>
    <t>Source of financing</t>
  </si>
  <si>
    <t>Reclassified balance items</t>
  </si>
  <si>
    <t>o/w Goodwill</t>
  </si>
  <si>
    <t>Investments in associates and J.V.</t>
  </si>
  <si>
    <t>Other financial assets</t>
  </si>
  <si>
    <t>Deferred tax assets</t>
  </si>
  <si>
    <t>Other receivables</t>
  </si>
  <si>
    <t>Tax receivables</t>
  </si>
  <si>
    <t>Non-current assets</t>
  </si>
  <si>
    <t>Securities held for trading</t>
  </si>
  <si>
    <t>Cash and cash equivalents</t>
  </si>
  <si>
    <t>Derivative financial instruments</t>
  </si>
  <si>
    <t>Current assets</t>
  </si>
  <si>
    <t>Share capital</t>
  </si>
  <si>
    <t>Reserves</t>
  </si>
  <si>
    <t>IAS balance items: Assets</t>
  </si>
  <si>
    <t>IAS balance items: Liabilities and Equity</t>
  </si>
  <si>
    <t>Borrowings from banks and other financial institutions</t>
  </si>
  <si>
    <t>Other payables</t>
  </si>
  <si>
    <t>Provisions for liabilities and charges</t>
  </si>
  <si>
    <t>Tax payables</t>
  </si>
  <si>
    <t>Total Liabilities</t>
  </si>
  <si>
    <t>Reversal of Net income (Loss) from discontinued operations</t>
  </si>
  <si>
    <t>Reversal of Taxes</t>
  </si>
  <si>
    <t>Reversals of amortization, depreciation, impairment losses and restatement of property, plant and equipment and intangible assets</t>
  </si>
  <si>
    <t>Reversal of financial expenses</t>
  </si>
  <si>
    <t>Reversal of financial income</t>
  </si>
  <si>
    <t>Reversal of dividends</t>
  </si>
  <si>
    <t>Reversal of gains / (losses) on equity investments</t>
  </si>
  <si>
    <t>Reversal of share of net income from associates and joint ventures</t>
  </si>
  <si>
    <t>Net income (loss) before taxes</t>
  </si>
  <si>
    <t>Change in inventories</t>
  </si>
  <si>
    <t>Change in trade receivables</t>
  </si>
  <si>
    <t>Change in trade payables</t>
  </si>
  <si>
    <t>Change in other receivables / other payables</t>
  </si>
  <si>
    <t>Investments in intangible assets</t>
  </si>
  <si>
    <t>Disposals (Acquisition) of investments in subsidiaries, associates and JVs</t>
  </si>
  <si>
    <t>Increase (reduction) in equity</t>
  </si>
  <si>
    <t>Cash flow from separation of Industrial Business</t>
  </si>
  <si>
    <t>Change in financial payables</t>
  </si>
  <si>
    <t>Dividends paid</t>
  </si>
  <si>
    <t>Net cash flows provided by (used in) operating activities before changes in working capital</t>
  </si>
  <si>
    <t>A. Net cash flows provided by (used in) operating activities</t>
  </si>
  <si>
    <t>B. Net cash flows provided by (used in) investing activities</t>
  </si>
  <si>
    <t>Financial income (expenses)</t>
  </si>
  <si>
    <t>C. Net cash flows provided by (used in) financing activities</t>
  </si>
  <si>
    <t>D. Total financial cash flow provided by (used in) discontinued operations</t>
  </si>
  <si>
    <t>E. Total cash flows provided (used) during the period (A+B+C+D)</t>
  </si>
  <si>
    <t>Net Financial Income (Charges)</t>
  </si>
  <si>
    <t>o/w dedicated to High Value products and services</t>
  </si>
  <si>
    <t>Key Balance Sheet metrics</t>
  </si>
  <si>
    <t>9M 2017</t>
  </si>
  <si>
    <t>Other</t>
  </si>
  <si>
    <t>Dividends</t>
  </si>
  <si>
    <t>Industrial reorganization</t>
  </si>
  <si>
    <t>Capital increase</t>
  </si>
  <si>
    <t>Derivatives included in Net Financial Position</t>
  </si>
  <si>
    <t>Derivatives not included in Net Financial Position</t>
  </si>
  <si>
    <t>Other receivables included in Net Financial Position</t>
  </si>
  <si>
    <t>Other receivables not included in Net Financial Position</t>
  </si>
  <si>
    <t>Net invested capital related to assets held for sale</t>
  </si>
  <si>
    <t>Provisions related to assets held for sale</t>
  </si>
  <si>
    <t>Net Financial Position related to assets held for sale</t>
  </si>
  <si>
    <t>Net Financial Position related to continuing operations</t>
  </si>
  <si>
    <t>Provisions related to continuing operations</t>
  </si>
  <si>
    <t>Net invested capital related to continuing operations</t>
  </si>
  <si>
    <t>NFP at the beginning of the period (reported)</t>
  </si>
  <si>
    <t>Reversal of other items from Pirelli Industrial</t>
  </si>
  <si>
    <t>Reversal of Pirelli Industrial dividends</t>
  </si>
  <si>
    <t>Reversal of carve-out of Pirelli Industrial</t>
  </si>
  <si>
    <t>Net income (Loss) from continuing operations</t>
  </si>
  <si>
    <t>IAS Cash Flow view</t>
  </si>
  <si>
    <t>Selected Financial Measures</t>
  </si>
  <si>
    <t>Reclassified Cash Flow view</t>
  </si>
  <si>
    <t>Financial Highlights</t>
  </si>
  <si>
    <t>Adjusted revenues details</t>
  </si>
  <si>
    <t>Adjusted EBIT bridge</t>
  </si>
  <si>
    <t>Balance sheet</t>
  </si>
  <si>
    <t>Cash flow</t>
  </si>
  <si>
    <t>Legenda</t>
  </si>
  <si>
    <t>Blue: Input</t>
  </si>
  <si>
    <t>Black: Formula</t>
  </si>
  <si>
    <t>Green: Link</t>
  </si>
  <si>
    <t>Operating Cash Flow</t>
  </si>
  <si>
    <t>FY 2017</t>
  </si>
  <si>
    <t>3Q 2017</t>
  </si>
  <si>
    <t>1H 2017</t>
  </si>
  <si>
    <t>2Q 2017</t>
  </si>
  <si>
    <t>1Q 2017</t>
  </si>
  <si>
    <t>4Q 2017</t>
  </si>
  <si>
    <t>Tax rate</t>
  </si>
  <si>
    <t>n.m.</t>
  </si>
  <si>
    <t>reported</t>
  </si>
  <si>
    <t>carve-out</t>
  </si>
  <si>
    <t>Δ Working Capital / Other</t>
  </si>
  <si>
    <t>% of High Value EBIT</t>
  </si>
  <si>
    <t>Net income (loss) from continuing operations</t>
  </si>
  <si>
    <t>Net income (loss) from discontinued operations</t>
  </si>
  <si>
    <t>Revenues</t>
  </si>
  <si>
    <t>Disclaimer</t>
  </si>
  <si>
    <t>€ million</t>
  </si>
  <si>
    <t>Financial Highlights - Full Year figures</t>
  </si>
  <si>
    <t>Adjusted EBIT bridge - Full Year figures</t>
  </si>
  <si>
    <t>Financial Highlights - Interim figures</t>
  </si>
  <si>
    <t>Adjusted EBIT bridge - Interim figures</t>
  </si>
  <si>
    <t>Balance Sheet - Interim figures</t>
  </si>
  <si>
    <t>Cash Flow - Interim figures</t>
  </si>
  <si>
    <t>Net Financial Position at the beginning of the period</t>
  </si>
  <si>
    <r>
      <t>Current Ratio (</t>
    </r>
    <r>
      <rPr>
        <sz val="10"/>
        <color rgb="FFE22526"/>
        <rFont val="Arial"/>
        <family val="2"/>
      </rPr>
      <t>1</t>
    </r>
    <r>
      <rPr>
        <sz val="10"/>
        <color theme="1"/>
        <rFont val="Arial"/>
        <family val="2"/>
      </rPr>
      <t>)</t>
    </r>
  </si>
  <si>
    <r>
      <t>Quick Ratio (</t>
    </r>
    <r>
      <rPr>
        <sz val="10"/>
        <color rgb="FFE22526"/>
        <rFont val="Arial"/>
        <family val="2"/>
      </rPr>
      <t>2</t>
    </r>
    <r>
      <rPr>
        <sz val="10"/>
        <color theme="1"/>
        <rFont val="Arial"/>
        <family val="2"/>
      </rPr>
      <t>)</t>
    </r>
  </si>
  <si>
    <r>
      <rPr>
        <sz val="8"/>
        <color rgb="FFE22526"/>
        <rFont val="Arial"/>
        <family val="2"/>
      </rPr>
      <t>1</t>
    </r>
    <r>
      <rPr>
        <sz val="8"/>
        <color theme="1"/>
        <rFont val="Arial"/>
        <family val="2"/>
      </rPr>
      <t>. obtained as: Current Assets / Current Liabilities</t>
    </r>
  </si>
  <si>
    <r>
      <rPr>
        <sz val="8"/>
        <color rgb="FFE22526"/>
        <rFont val="Arial"/>
        <family val="2"/>
      </rPr>
      <t>2</t>
    </r>
    <r>
      <rPr>
        <sz val="8"/>
        <color theme="1"/>
        <rFont val="Arial"/>
        <family val="2"/>
      </rPr>
      <t>. obtained as: (Current Assets - Inventories) / Current Liabilities</t>
    </r>
  </si>
  <si>
    <r>
      <t>Adjusted EBIT (</t>
    </r>
    <r>
      <rPr>
        <sz val="10"/>
        <color rgb="FFE22526"/>
        <rFont val="Arial"/>
        <family val="2"/>
      </rPr>
      <t>2</t>
    </r>
    <r>
      <rPr>
        <sz val="10"/>
        <color theme="1"/>
        <rFont val="Arial"/>
        <family val="2"/>
      </rPr>
      <t>) margin</t>
    </r>
  </si>
  <si>
    <r>
      <t>Adjusted EBIT (</t>
    </r>
    <r>
      <rPr>
        <b/>
        <sz val="10"/>
        <color rgb="FFE22526"/>
        <rFont val="Arial"/>
        <family val="2"/>
      </rPr>
      <t>2</t>
    </r>
    <r>
      <rPr>
        <b/>
        <sz val="10"/>
        <color theme="1"/>
        <rFont val="Arial"/>
        <family val="2"/>
      </rPr>
      <t>)</t>
    </r>
  </si>
  <si>
    <r>
      <t>Adjusted EBITDA (</t>
    </r>
    <r>
      <rPr>
        <b/>
        <sz val="10"/>
        <color rgb="FFE22526"/>
        <rFont val="Arial"/>
        <family val="2"/>
      </rPr>
      <t>1</t>
    </r>
    <r>
      <rPr>
        <b/>
        <sz val="10"/>
        <color theme="1"/>
        <rFont val="Arial"/>
        <family val="2"/>
      </rPr>
      <t>)</t>
    </r>
  </si>
  <si>
    <r>
      <t>Adjusted EBITDA (</t>
    </r>
    <r>
      <rPr>
        <sz val="10"/>
        <color rgb="FFE22526"/>
        <rFont val="Arial"/>
        <family val="2"/>
      </rPr>
      <t>1</t>
    </r>
    <r>
      <rPr>
        <sz val="10"/>
        <color theme="1"/>
        <rFont val="Arial"/>
        <family val="2"/>
      </rPr>
      <t>) margin</t>
    </r>
  </si>
  <si>
    <t>Full year figures</t>
  </si>
  <si>
    <t>Interim figures</t>
  </si>
  <si>
    <t>n.a.</t>
  </si>
  <si>
    <r>
      <t>Adjusted EBIT (</t>
    </r>
    <r>
      <rPr>
        <b/>
        <sz val="10"/>
        <color rgb="FFE22526"/>
        <rFont val="Arial"/>
        <family val="2"/>
      </rPr>
      <t>2</t>
    </r>
    <r>
      <rPr>
        <b/>
        <sz val="10"/>
        <color theme="1"/>
        <rFont val="Arial"/>
        <family val="2"/>
      </rPr>
      <t>) without start-up costs (</t>
    </r>
    <r>
      <rPr>
        <b/>
        <sz val="10"/>
        <color rgb="FFE22526"/>
        <rFont val="Arial"/>
        <family val="2"/>
      </rPr>
      <t>3</t>
    </r>
    <r>
      <rPr>
        <b/>
        <sz val="10"/>
        <color theme="1"/>
        <rFont val="Arial"/>
        <family val="2"/>
      </rPr>
      <t>)</t>
    </r>
  </si>
  <si>
    <r>
      <t>Adjusted EBIT (</t>
    </r>
    <r>
      <rPr>
        <sz val="10"/>
        <color rgb="FFE22526"/>
        <rFont val="Arial"/>
        <family val="2"/>
      </rPr>
      <t>2</t>
    </r>
    <r>
      <rPr>
        <sz val="10"/>
        <color theme="1"/>
        <rFont val="Arial"/>
        <family val="2"/>
      </rPr>
      <t>) without start-up costs (</t>
    </r>
    <r>
      <rPr>
        <sz val="10"/>
        <color rgb="FFE22526"/>
        <rFont val="Arial"/>
        <family val="2"/>
      </rPr>
      <t>3</t>
    </r>
    <r>
      <rPr>
        <sz val="10"/>
        <color theme="1"/>
        <rFont val="Arial"/>
        <family val="2"/>
      </rPr>
      <t>) margin</t>
    </r>
  </si>
  <si>
    <r>
      <t>Adjusted EBITDA (</t>
    </r>
    <r>
      <rPr>
        <sz val="10"/>
        <color rgb="FFE22526"/>
        <rFont val="Arial"/>
        <family val="2"/>
      </rPr>
      <t>1</t>
    </r>
    <r>
      <rPr>
        <sz val="10"/>
        <color theme="1"/>
        <rFont val="Arial"/>
        <family val="2"/>
      </rPr>
      <t>)</t>
    </r>
  </si>
  <si>
    <t>EBIT adjustments</t>
  </si>
  <si>
    <t>Net financial expenses</t>
  </si>
  <si>
    <t>1Q 2018</t>
  </si>
  <si>
    <t>Dividends received (including dividends from associates and J.V.)</t>
  </si>
  <si>
    <t>Contract liabilities</t>
  </si>
  <si>
    <r>
      <t>Perimeter / Other (</t>
    </r>
    <r>
      <rPr>
        <sz val="8"/>
        <color rgb="FFE22526"/>
        <rFont val="Arial"/>
        <family val="2"/>
      </rPr>
      <t>1</t>
    </r>
    <r>
      <rPr>
        <sz val="10"/>
        <color theme="1"/>
        <rFont val="Arial"/>
        <family val="2"/>
      </rPr>
      <t>)</t>
    </r>
  </si>
  <si>
    <t>Other financial assets at fair value through income statement</t>
  </si>
  <si>
    <r>
      <rPr>
        <sz val="8"/>
        <color rgb="FFE22526"/>
        <rFont val="Arial"/>
        <family val="2"/>
      </rPr>
      <t>2</t>
    </r>
    <r>
      <rPr>
        <sz val="8"/>
        <color theme="1"/>
        <rFont val="Arial"/>
        <family val="2"/>
      </rPr>
      <t xml:space="preserve">. Adjusted EBIT: calculating by adjusting Operating profit (EBIT) for amortization of intangible assets included in PPA, non-recurring, restructuring expenses and other adjustments. </t>
    </r>
  </si>
  <si>
    <r>
      <rPr>
        <sz val="8"/>
        <color rgb="FFE22526"/>
        <rFont val="Arial"/>
        <family val="2"/>
      </rPr>
      <t>1</t>
    </r>
    <r>
      <rPr>
        <sz val="8"/>
        <color theme="1"/>
        <rFont val="Arial"/>
        <family val="2"/>
      </rPr>
      <t xml:space="preserve">. Adjusted EBITDA: calculated by adjusting EBITDA for non-recurring, restructuring expenses and other adjustments. </t>
    </r>
  </si>
  <si>
    <r>
      <rPr>
        <sz val="8"/>
        <color rgb="FFE22526"/>
        <rFont val="Arial"/>
        <family val="2"/>
      </rPr>
      <t>3</t>
    </r>
    <r>
      <rPr>
        <sz val="8"/>
        <color theme="1"/>
        <rFont val="Arial"/>
        <family val="2"/>
      </rPr>
      <t>. Start-up costs are related to (i) the start-up phase of programs addressing new customer requirements such as connectivity (cyber assets) and our return to the bicycles business (the Velo project), (ii) activities addressing the digital transformation of society, and (iii) work on the conversion of the Aeolus car factory acquired on October 1, 2016, from the production of Aeolus-brand products to Pirelli-brand products.</t>
    </r>
  </si>
  <si>
    <t>2Q 2018</t>
  </si>
  <si>
    <t>1H 2018</t>
  </si>
  <si>
    <r>
      <rPr>
        <sz val="8"/>
        <color rgb="FFE22526"/>
        <rFont val="Arial"/>
        <family val="2"/>
      </rPr>
      <t>4</t>
    </r>
    <r>
      <rPr>
        <sz val="8"/>
        <color theme="1"/>
        <rFont val="Arial"/>
        <family val="2"/>
      </rPr>
      <t>. obtained as a difference between 1H 2017 carve-out and 1Q 2017 reported; Net Income (Loss) from discontinued operations not applicable</t>
    </r>
  </si>
  <si>
    <r>
      <rPr>
        <sz val="8"/>
        <color rgb="FFE22526"/>
        <rFont val="Arial"/>
        <family val="2"/>
      </rPr>
      <t>5</t>
    </r>
    <r>
      <rPr>
        <sz val="8"/>
        <color theme="1"/>
        <rFont val="Arial"/>
        <family val="2"/>
      </rPr>
      <t>. obtained as a difference between 9M 2017 reported and 1H 2017 carve-out; Net Income (Loss) from discontinued operations not applicable</t>
    </r>
  </si>
  <si>
    <r>
      <t>reported (</t>
    </r>
    <r>
      <rPr>
        <sz val="10"/>
        <color rgb="FFE22526"/>
        <rFont val="Arial"/>
        <family val="2"/>
      </rPr>
      <t>4</t>
    </r>
    <r>
      <rPr>
        <sz val="10"/>
        <color theme="1"/>
        <rFont val="Arial"/>
        <family val="2"/>
      </rPr>
      <t>)</t>
    </r>
  </si>
  <si>
    <r>
      <t>reported (</t>
    </r>
    <r>
      <rPr>
        <sz val="10"/>
        <color rgb="FFE22526"/>
        <rFont val="Arial"/>
        <family val="2"/>
      </rPr>
      <t>5</t>
    </r>
    <r>
      <rPr>
        <sz val="10"/>
        <color theme="1"/>
        <rFont val="Arial"/>
        <family val="2"/>
      </rPr>
      <t>)</t>
    </r>
  </si>
  <si>
    <t>Derivative financial instruments included in the Net Financial Position</t>
  </si>
  <si>
    <t>Derivative financial instruments not included in the Net Financial Position</t>
  </si>
  <si>
    <t>Derivative financial instruments included in Net Financial Position</t>
  </si>
  <si>
    <t>Derivative financial instruments not included in Net Financial Position</t>
  </si>
  <si>
    <t>Depreciation &amp; Ammortization (excl. PPA)</t>
  </si>
  <si>
    <t>Change in Financial receivables / Other current financial assets at fair value through income statement - Assets held for trading</t>
  </si>
  <si>
    <t>9M 2018</t>
  </si>
  <si>
    <t>3Q 2018</t>
  </si>
  <si>
    <t>FY 2018</t>
  </si>
  <si>
    <t>4Q 2018</t>
  </si>
  <si>
    <r>
      <rPr>
        <sz val="8"/>
        <color rgb="FFE22526"/>
        <rFont val="Arial"/>
        <family val="2"/>
      </rPr>
      <t>1</t>
    </r>
    <r>
      <rPr>
        <sz val="8"/>
        <color theme="1"/>
        <rFont val="Arial"/>
        <family val="2"/>
      </rPr>
      <t>. Aeolus Car / Velo up to FY'17; for 1Q-4Q 2018: in accordance with IFRS 15 (starting from January 1st, 2018), costs incurred for sales promotion are required to be treated as variable components of consideration and therefore have the effect of reducing revenues</t>
    </r>
  </si>
  <si>
    <r>
      <t>Perimeter / Other (</t>
    </r>
    <r>
      <rPr>
        <sz val="10"/>
        <color rgb="FFE22526"/>
        <rFont val="Arial"/>
        <family val="2"/>
      </rPr>
      <t>1</t>
    </r>
    <r>
      <rPr>
        <sz val="10"/>
        <color theme="1"/>
        <rFont val="Arial"/>
        <family val="2"/>
      </rPr>
      <t>)</t>
    </r>
  </si>
  <si>
    <t>Acquisition of distribution network in Brazil - Caçula</t>
  </si>
  <si>
    <r>
      <t>F. Cash and cash equivalents at the beginning of the period (</t>
    </r>
    <r>
      <rPr>
        <sz val="10"/>
        <color rgb="FFE22526"/>
        <rFont val="Arial"/>
        <family val="2"/>
      </rPr>
      <t>2</t>
    </r>
    <r>
      <rPr>
        <sz val="10"/>
        <color theme="1"/>
        <rFont val="Arial"/>
        <family val="2"/>
      </rPr>
      <t>)</t>
    </r>
  </si>
  <si>
    <t>1Q 2019</t>
  </si>
  <si>
    <t>Cash flow for IFRS 16 leasing debts</t>
  </si>
  <si>
    <t>Net Financial Position at the end of the period (excl. IFRS 16 impact)</t>
  </si>
  <si>
    <t>Net Financial Position at the end of the period (incl. IFRS 16 impact)</t>
  </si>
  <si>
    <t>Right of use IFRS 16</t>
  </si>
  <si>
    <t>Fixed assets excl. IFRS 16</t>
  </si>
  <si>
    <t>Fixed assets incl. IFRS 16</t>
  </si>
  <si>
    <t>Net Financial Position excl. IFRS 16</t>
  </si>
  <si>
    <t>Net Financial Position incl. IFRS 16</t>
  </si>
  <si>
    <t>Tangible assets (excl. IFRS 16)</t>
  </si>
  <si>
    <t>Tangible assets</t>
  </si>
  <si>
    <r>
      <t>Net Financial Position (</t>
    </r>
    <r>
      <rPr>
        <sz val="10"/>
        <color rgb="FFE22526"/>
        <rFont val="Arial"/>
        <family val="2"/>
      </rPr>
      <t>3</t>
    </r>
    <r>
      <rPr>
        <sz val="10"/>
        <color theme="1"/>
        <rFont val="Arial"/>
        <family val="2"/>
      </rPr>
      <t>)</t>
    </r>
  </si>
  <si>
    <t>Net Cash Flow (incl. IFRS 16 impact)</t>
  </si>
  <si>
    <r>
      <rPr>
        <sz val="8"/>
        <color rgb="FFE22526"/>
        <rFont val="Arial"/>
        <family val="2"/>
      </rPr>
      <t>3</t>
    </r>
    <r>
      <rPr>
        <sz val="8"/>
        <color theme="1"/>
        <rFont val="Arial"/>
        <family val="2"/>
      </rPr>
      <t>. The figures refer to the restated consolidated financial statements of Pirelli following the classification of the Industrial business data in the item "Net income (loss) from discontinued operations".</t>
    </r>
  </si>
  <si>
    <r>
      <rPr>
        <sz val="8"/>
        <color rgb="FFE22526"/>
        <rFont val="Arial"/>
        <family val="2"/>
      </rPr>
      <t>2</t>
    </r>
    <r>
      <rPr>
        <sz val="8"/>
        <color theme="1"/>
        <rFont val="Arial"/>
        <family val="2"/>
      </rPr>
      <t>. elimination of IFRS 16 impact on Adjusted EBITDA, CapEx, Working Capital and Interests</t>
    </r>
  </si>
  <si>
    <r>
      <t>IFRS 16 adjustments (</t>
    </r>
    <r>
      <rPr>
        <sz val="10"/>
        <color rgb="FFE22526"/>
        <rFont val="Arial"/>
        <family val="2"/>
      </rPr>
      <t>2</t>
    </r>
    <r>
      <rPr>
        <sz val="10"/>
        <color theme="1"/>
        <rFont val="Arial"/>
        <family val="2"/>
      </rPr>
      <t>)</t>
    </r>
  </si>
  <si>
    <t>IFRS 16 cash flow impact</t>
  </si>
  <si>
    <t>2Q 2019</t>
  </si>
  <si>
    <t>1H 2019</t>
  </si>
  <si>
    <r>
      <t>Net Income Adjusted (</t>
    </r>
    <r>
      <rPr>
        <b/>
        <sz val="10"/>
        <color rgb="FFE22526"/>
        <rFont val="Arial"/>
        <family val="2"/>
      </rPr>
      <t>6</t>
    </r>
    <r>
      <rPr>
        <b/>
        <sz val="10"/>
        <color theme="1"/>
        <rFont val="Arial"/>
        <family val="2"/>
      </rPr>
      <t>)</t>
    </r>
  </si>
  <si>
    <r>
      <t>Net Income Adjusted (</t>
    </r>
    <r>
      <rPr>
        <sz val="10"/>
        <color rgb="FFE22526"/>
        <rFont val="Arial"/>
        <family val="2"/>
      </rPr>
      <t>6</t>
    </r>
    <r>
      <rPr>
        <sz val="10"/>
        <color theme="1"/>
        <rFont val="Arial"/>
        <family val="2"/>
      </rPr>
      <t>) margin</t>
    </r>
  </si>
  <si>
    <r>
      <rPr>
        <sz val="8"/>
        <color rgb="FFE22526"/>
        <rFont val="Arial"/>
        <family val="2"/>
      </rPr>
      <t>6</t>
    </r>
    <r>
      <rPr>
        <sz val="8"/>
        <color theme="1"/>
        <rFont val="Arial"/>
        <family val="2"/>
      </rPr>
      <t>. Net Income Adjusted: calculated by adjusting Total net income (loss) for EBIT adjustments, the Venezuela deconsolidation, Net financial expenses and Tax.</t>
    </r>
  </si>
  <si>
    <t>3Q 2019</t>
  </si>
  <si>
    <t>9M 2019</t>
  </si>
  <si>
    <t>FY 2019</t>
  </si>
  <si>
    <t>4Q 2019</t>
  </si>
  <si>
    <t>Reversal of accruals and other</t>
  </si>
  <si>
    <t>Other financial assets at fair value through other comprehensive income</t>
  </si>
  <si>
    <t>Dividends / reserves received from associates</t>
  </si>
  <si>
    <t>Disposal (Acquisition) of non-controlling interests</t>
  </si>
  <si>
    <t>Disposals (Acquisition) of other non-current financial assets at fair value through income statement - Other financial assets</t>
  </si>
  <si>
    <t>Quota reimbursement of other non-current financial assets at fair value through other Comprehensive Income</t>
  </si>
  <si>
    <t>Other changes</t>
  </si>
  <si>
    <t>Derivatives financial instruments not included in Net Financial Position</t>
  </si>
  <si>
    <t>Derivatives financial instruments included in Net Financial Position</t>
  </si>
  <si>
    <t>Asset disposal / acquisition</t>
  </si>
  <si>
    <t>Increase rights of use IFRS 16</t>
  </si>
  <si>
    <t>1Q 2020</t>
  </si>
  <si>
    <t>Use of provisions for employee benefit obligations and other provisions</t>
  </si>
  <si>
    <t>Investments in tangible assets</t>
  </si>
  <si>
    <t>Change in payables for investments in tangible assets</t>
  </si>
  <si>
    <t>2Q 2020</t>
  </si>
  <si>
    <t>1H 2020</t>
  </si>
  <si>
    <t>Net Income (Loss)</t>
  </si>
  <si>
    <t>3Q 2020</t>
  </si>
  <si>
    <t>9M 2020</t>
  </si>
  <si>
    <t>FY 2020</t>
  </si>
  <si>
    <t>4Q 2020</t>
  </si>
  <si>
    <r>
      <rPr>
        <sz val="8"/>
        <color rgb="FFE22526"/>
        <rFont val="Arial"/>
        <family val="2"/>
      </rPr>
      <t>3.</t>
    </r>
    <r>
      <rPr>
        <sz val="8"/>
        <color theme="1"/>
        <rFont val="Arial"/>
        <family val="2"/>
      </rPr>
      <t xml:space="preserve"> including the impact of the application of the new accounting standard IFRS 16 - Leases from 2019</t>
    </r>
  </si>
  <si>
    <t>Non-recurring, restructuring expenses and other</t>
  </si>
  <si>
    <t>Net Cash Flow before dividends, extraordinary transactions &amp; investments</t>
  </si>
  <si>
    <t>EU electric cables market cartel sanction</t>
  </si>
  <si>
    <t>Net Cash Flow before dividends &amp; convertible bond impact</t>
  </si>
  <si>
    <t>Convertible bond impact</t>
  </si>
  <si>
    <t>Other assets</t>
  </si>
  <si>
    <t>Deferred tax liabilities</t>
  </si>
  <si>
    <t>Provisions for employee benefit obligations</t>
  </si>
  <si>
    <t>Reversal of financial expenses / (income)</t>
  </si>
  <si>
    <t>Revenues drivers - Full Year figures</t>
  </si>
  <si>
    <t>Revenues drivers - Interim figures</t>
  </si>
  <si>
    <t>Change in Borrowings from banks and other financial institutions due to draw down</t>
  </si>
  <si>
    <t>Change in Borrowings from banks and other financial institutions due to repayments and other</t>
  </si>
  <si>
    <t>Dividends received</t>
  </si>
  <si>
    <t>Exchange rate / hyperinflation accounting in Argentina</t>
  </si>
  <si>
    <t>Financial income / (expenses)</t>
  </si>
  <si>
    <t>Tax income / (expenses)</t>
  </si>
  <si>
    <t>Change in other receivables</t>
  </si>
  <si>
    <t>Change in other payables</t>
  </si>
  <si>
    <t xml:space="preserve">Uses of Provisions for employee benefit obligations </t>
  </si>
  <si>
    <t>Uses of other provisions</t>
  </si>
  <si>
    <t>Disposal of tangible / intangible assets</t>
  </si>
  <si>
    <t>Disposal of owned tangible assets</t>
  </si>
  <si>
    <t>Disposal of intangible assets</t>
  </si>
  <si>
    <t>1Q 2021</t>
  </si>
  <si>
    <t>Lease liabilities</t>
  </si>
  <si>
    <t>Lease liabilities (IFRS 16)</t>
  </si>
  <si>
    <t>Repayment of principal and payment of interest for lease liabilities</t>
  </si>
  <si>
    <t>Lease liabilities at transition date</t>
  </si>
  <si>
    <t>2Q 2021</t>
  </si>
  <si>
    <t>1H 2021</t>
  </si>
  <si>
    <r>
      <rPr>
        <b/>
        <sz val="10"/>
        <color theme="1"/>
        <rFont val="Arial"/>
        <family val="2"/>
      </rPr>
      <t>2016-2021 restated / reported figures</t>
    </r>
    <r>
      <rPr>
        <sz val="10"/>
        <color theme="1"/>
        <rFont val="Arial"/>
        <family val="2"/>
      </rPr>
      <t>: include the Industrial business among the “discontinued operation”. The results for the period for the “discontinued operation” were reclassified to the Income Statement as a single item, “net income (loss) related to discontinued operations”, and includes the financial result for the first quarter of 2017 for the Industrial Business, which no longer comes under the consolidation perimeter of the Group as a result of the assignment, as well as the twelve month results for some of the residual Industrial activities currently in the process of being separated. In accordance with the relevant accounting standard, the comparable financial data for 2016 was subjected to restatement. Cash flow for 2017 and 2016 followed the same approach and includes in one single line item the cash flow of the discontinued operation.
Balance Sheet 2017 figures report in one single item named “asset held for sale” the amount of the net asset related to the residual industrial activities currently in the process of being separated. Balance sheet 2016 in accordance to relevant accounting principles has not been restated including figures related to industrial activities in one single line item.</t>
    </r>
  </si>
  <si>
    <t>Divestments / (Investments) in other financial assets at fair value through Other Comprehensive Income</t>
  </si>
  <si>
    <t>3Q 2021</t>
  </si>
  <si>
    <t>9M 2021</t>
  </si>
  <si>
    <t>4Q 2021</t>
  </si>
  <si>
    <t>Net taxes paid</t>
  </si>
  <si>
    <t>Loss (Acquisition) of control in subsidiaries</t>
  </si>
  <si>
    <t>Change in Financial receivables from associates and joint ventures</t>
  </si>
  <si>
    <t>FY 2021</t>
  </si>
  <si>
    <t>1Q 2022</t>
  </si>
  <si>
    <t>Reclassified balance sheet items</t>
  </si>
  <si>
    <t>IAS balance sheet items: Assets</t>
  </si>
  <si>
    <t>IAS balance sheet items: Liabilities and Equity</t>
  </si>
  <si>
    <t>Adjusted EBIT at the end of the period</t>
  </si>
  <si>
    <t>Adjusted EBIT at the beginning of the period</t>
  </si>
  <si>
    <t>2Q 2022</t>
  </si>
  <si>
    <t>1H 2022</t>
  </si>
  <si>
    <t>3Q 2022</t>
  </si>
  <si>
    <t>9M 2022</t>
  </si>
  <si>
    <t>FY 2022</t>
  </si>
  <si>
    <t>4Q 2022</t>
  </si>
  <si>
    <t>1Q 2023</t>
  </si>
  <si>
    <t>2Q 2023</t>
  </si>
  <si>
    <t>1H 2023</t>
  </si>
  <si>
    <t>3Q 2023</t>
  </si>
  <si>
    <t>9M 2023</t>
  </si>
  <si>
    <t>9M2023</t>
  </si>
  <si>
    <t>FY 2023</t>
  </si>
  <si>
    <t>4Q 2023</t>
  </si>
  <si>
    <t>FY2023</t>
  </si>
  <si>
    <t>1Q 2024</t>
  </si>
  <si>
    <t>Hevea-Tec acquisition</t>
  </si>
  <si>
    <t>2Q 2024</t>
  </si>
  <si>
    <t>1H 2024</t>
  </si>
  <si>
    <t>3Q 2024</t>
  </si>
  <si>
    <t>9M 2024</t>
  </si>
  <si>
    <t>9M2024</t>
  </si>
  <si>
    <t>Other extraordinary transactions</t>
  </si>
  <si>
    <t>FY 2024</t>
  </si>
  <si>
    <t>4Q 2024</t>
  </si>
  <si>
    <t>FY2024</t>
  </si>
  <si>
    <t>Financial Income / Expenses - Interest paid from 2023 onwards</t>
  </si>
  <si>
    <t>Note</t>
  </si>
  <si>
    <t>Restatement for 2023 onwards to align with the new reporting of Net Cash flow bridge</t>
  </si>
  <si>
    <t>Balance Sheet - Full Year figures</t>
  </si>
  <si>
    <t>Cash Flow - Full Year figures</t>
  </si>
  <si>
    <t>1Q 2025</t>
  </si>
  <si>
    <t>Revenues drivers vs. previous year</t>
  </si>
  <si>
    <t>R&amp;D costs / Revenues</t>
  </si>
  <si>
    <t>High Value R&amp;D costs / High Value Revenues</t>
  </si>
  <si>
    <r>
      <t>Adjusted EBIT (</t>
    </r>
    <r>
      <rPr>
        <sz val="11"/>
        <color rgb="FFFF0000"/>
        <rFont val="Arial"/>
        <family val="2"/>
      </rPr>
      <t>2</t>
    </r>
    <r>
      <rPr>
        <sz val="10"/>
        <color theme="1"/>
        <rFont val="Arial"/>
        <family val="2"/>
      </rPr>
      <t>) margin without start-up costs (</t>
    </r>
    <r>
      <rPr>
        <sz val="10"/>
        <color rgb="FFFF0000"/>
        <rFont val="Arial"/>
        <family val="2"/>
      </rPr>
      <t>5</t>
    </r>
    <r>
      <rPr>
        <sz val="10"/>
        <color theme="1"/>
        <rFont val="Arial"/>
        <family val="2"/>
      </rPr>
      <t>)</t>
    </r>
  </si>
  <si>
    <r>
      <rPr>
        <sz val="8.8000000000000007"/>
        <color rgb="FFFF0000"/>
        <rFont val="Arial"/>
        <family val="2"/>
      </rPr>
      <t>3</t>
    </r>
    <r>
      <rPr>
        <sz val="8"/>
        <color theme="1"/>
        <rFont val="Arial"/>
        <family val="2"/>
      </rPr>
      <t>. Net Income Adjusted: calculated by adjusting Total net income (loss) for EBIT adjustments, the Venezuela deconsolidation, Net financial expenses and Tax.</t>
    </r>
  </si>
  <si>
    <r>
      <rPr>
        <sz val="8.8000000000000007"/>
        <color rgb="FFFF0000"/>
        <rFont val="Arial"/>
        <family val="2"/>
      </rPr>
      <t>4</t>
    </r>
    <r>
      <rPr>
        <sz val="8"/>
        <color theme="1"/>
        <rFont val="Arial"/>
        <family val="2"/>
      </rPr>
      <t>. Cash conversion ratio: calculated by dividing (Adjusted EBITDA - CapEx) by Adjusted EBITDA.</t>
    </r>
  </si>
  <si>
    <r>
      <rPr>
        <sz val="8.8000000000000007"/>
        <color rgb="FFFF0000"/>
        <rFont val="Arial"/>
        <family val="2"/>
      </rPr>
      <t>5</t>
    </r>
    <r>
      <rPr>
        <sz val="8"/>
        <color theme="1"/>
        <rFont val="Arial"/>
        <family val="2"/>
      </rPr>
      <t>. Start-up costs are related to (i) the start-up phase of programs addressing new customer requirements such as connectivity (cyber assets) and our return to the bicycles business (the Velo project), (ii) activities addressing the digital transformation of society, and (iii) work on the conversion of the Aeolus car factory acquired on October 1, 1015, from the production of Aeolus-brand products to Pirelli-brand products.</t>
    </r>
  </si>
  <si>
    <r>
      <rPr>
        <sz val="8.8000000000000007"/>
        <color rgb="FFFF0000"/>
        <rFont val="Arial"/>
        <family val="2"/>
      </rPr>
      <t>6</t>
    </r>
    <r>
      <rPr>
        <sz val="8"/>
        <color theme="1"/>
        <rFont val="Arial"/>
        <family val="2"/>
      </rPr>
      <t>. obtained as: Net Financial Position / adj. EBITDA w/o start-up costs (until 1019); Net Financial Position / adj. EBITDA (from 1019)</t>
    </r>
  </si>
  <si>
    <r>
      <t>Adjusted EBITDA (</t>
    </r>
    <r>
      <rPr>
        <sz val="10"/>
        <color rgb="FFFF0000"/>
        <rFont val="Arial"/>
        <family val="2"/>
      </rPr>
      <t>1</t>
    </r>
    <r>
      <rPr>
        <b/>
        <sz val="10"/>
        <color theme="1"/>
        <rFont val="Arial"/>
        <family val="2"/>
      </rPr>
      <t>)</t>
    </r>
  </si>
  <si>
    <r>
      <t>Adjusted EBIT (</t>
    </r>
    <r>
      <rPr>
        <sz val="10"/>
        <color rgb="FFFF0000"/>
        <rFont val="Arial"/>
        <family val="2"/>
      </rPr>
      <t>2</t>
    </r>
    <r>
      <rPr>
        <b/>
        <sz val="10"/>
        <color theme="1"/>
        <rFont val="Arial"/>
        <family val="2"/>
      </rPr>
      <t>) without start-up costs (</t>
    </r>
    <r>
      <rPr>
        <sz val="11"/>
        <color rgb="FFFF0000"/>
        <rFont val="Arial"/>
        <family val="2"/>
      </rPr>
      <t>5</t>
    </r>
    <r>
      <rPr>
        <b/>
        <sz val="10"/>
        <color theme="1"/>
        <rFont val="Arial"/>
        <family val="2"/>
      </rPr>
      <t>)</t>
    </r>
  </si>
  <si>
    <r>
      <t>Net Income Adjusted (</t>
    </r>
    <r>
      <rPr>
        <sz val="10"/>
        <color rgb="FFFF0000"/>
        <rFont val="Arial"/>
        <family val="2"/>
      </rPr>
      <t>3</t>
    </r>
    <r>
      <rPr>
        <b/>
        <sz val="10"/>
        <color theme="1"/>
        <rFont val="Arial"/>
        <family val="2"/>
      </rPr>
      <t>)</t>
    </r>
  </si>
  <si>
    <r>
      <t>Adjusted EBITDA (</t>
    </r>
    <r>
      <rPr>
        <sz val="10"/>
        <color rgb="FFFF0000"/>
        <rFont val="Arial"/>
        <family val="2"/>
      </rPr>
      <t>1</t>
    </r>
    <r>
      <rPr>
        <b/>
        <sz val="10"/>
        <color theme="1"/>
        <rFont val="Arial"/>
        <family val="2"/>
      </rPr>
      <t>) - Investments</t>
    </r>
  </si>
  <si>
    <r>
      <t>Total Net Leverage (</t>
    </r>
    <r>
      <rPr>
        <sz val="10"/>
        <color rgb="FFFF0000"/>
        <rFont val="Arial"/>
        <family val="2"/>
      </rPr>
      <t>6</t>
    </r>
    <r>
      <rPr>
        <sz val="10"/>
        <color theme="1"/>
        <rFont val="Arial"/>
        <family val="2"/>
      </rPr>
      <t>)</t>
    </r>
  </si>
  <si>
    <r>
      <t>Net Income Adjusted (</t>
    </r>
    <r>
      <rPr>
        <sz val="10"/>
        <color rgb="FFFF0000"/>
        <rFont val="Arial"/>
        <family val="2"/>
      </rPr>
      <t>3</t>
    </r>
    <r>
      <rPr>
        <sz val="10"/>
        <color theme="1"/>
        <rFont val="Arial"/>
        <family val="2"/>
      </rPr>
      <t>) margin</t>
    </r>
  </si>
  <si>
    <r>
      <t>Cash conversion ratio (</t>
    </r>
    <r>
      <rPr>
        <sz val="10"/>
        <color rgb="FFFF0000"/>
        <rFont val="Arial"/>
        <family val="2"/>
      </rPr>
      <t>4</t>
    </r>
    <r>
      <rPr>
        <sz val="10"/>
        <color theme="1"/>
        <rFont val="Arial"/>
        <family val="2"/>
      </rPr>
      <t>)</t>
    </r>
  </si>
  <si>
    <r>
      <t>Adjusted EBIT (</t>
    </r>
    <r>
      <rPr>
        <sz val="10"/>
        <color rgb="FFFF0000"/>
        <rFont val="Arial"/>
        <family val="2"/>
      </rPr>
      <t>2</t>
    </r>
    <r>
      <rPr>
        <b/>
        <sz val="10"/>
        <color theme="1"/>
        <rFont val="Arial"/>
        <family val="2"/>
      </rPr>
      <t>)</t>
    </r>
  </si>
  <si>
    <r>
      <t>Adjusted EBIT (</t>
    </r>
    <r>
      <rPr>
        <sz val="10"/>
        <color rgb="FFFF0000"/>
        <rFont val="Arial"/>
        <family val="2"/>
      </rPr>
      <t>2</t>
    </r>
    <r>
      <rPr>
        <sz val="10"/>
        <color theme="1"/>
        <rFont val="Arial"/>
        <family val="2"/>
      </rPr>
      <t>) margin</t>
    </r>
  </si>
  <si>
    <r>
      <t>Adjusted EBITDA (</t>
    </r>
    <r>
      <rPr>
        <sz val="10"/>
        <color rgb="FFFF0000"/>
        <rFont val="Arial"/>
        <family val="2"/>
      </rPr>
      <t>1</t>
    </r>
    <r>
      <rPr>
        <sz val="10"/>
        <color theme="1"/>
        <rFont val="Arial"/>
        <family val="2"/>
      </rPr>
      <t>) margin</t>
    </r>
  </si>
  <si>
    <t>Raw Materials reporting from 2025 onwards will reflect only commodity price effects. FX impact on raw materials is now included under Exchange Rate item.</t>
  </si>
  <si>
    <t>2Q 2025</t>
  </si>
  <si>
    <t>1H 2025</t>
  </si>
  <si>
    <t>Däckia disposal</t>
  </si>
  <si>
    <t>3Q 2025</t>
  </si>
  <si>
    <t>9M 2025</t>
  </si>
  <si>
    <t>The "Pirelli in Figures" contains historical Pirelli financial figures for the years 2014-2025 YTD</t>
  </si>
  <si>
    <t>Adjustments</t>
  </si>
  <si>
    <t>FY 2025</t>
  </si>
  <si>
    <t>4Q 2025</t>
  </si>
  <si>
    <t>Pirelli in Figures - FY 2025</t>
  </si>
  <si>
    <t>Latest update April, 16th 2026</t>
  </si>
  <si>
    <r>
      <rPr>
        <b/>
        <sz val="10"/>
        <color theme="1"/>
        <rFont val="Arial"/>
        <family val="2"/>
      </rPr>
      <t>2014-2016 carve-out figures</t>
    </r>
    <r>
      <rPr>
        <sz val="10"/>
        <color theme="1"/>
        <rFont val="Arial"/>
        <family val="2"/>
      </rPr>
      <t>: prepared for the IPO, in order to represent the new Company perimeter afterthe assignation of Industrial activities to Marco Polo International Italy S.p.A. (“Marco Polo”) in March 2017.</t>
    </r>
  </si>
  <si>
    <t>Non-recurring income</t>
  </si>
  <si>
    <t>F. Cash and cash equivalents at the beginning of the period</t>
  </si>
  <si>
    <r>
      <rPr>
        <sz val="8.8000000000000007"/>
        <color rgb="FFFF0000"/>
        <rFont val="Arial"/>
        <family val="2"/>
      </rPr>
      <t>1</t>
    </r>
    <r>
      <rPr>
        <sz val="8"/>
        <color theme="1"/>
        <rFont val="Arial"/>
        <family val="2"/>
      </rPr>
      <t>. Adjusted EBITDA: calculated by adjusting EBITDA for non-recurring, restructuring expenses, other adjustments.</t>
    </r>
  </si>
  <si>
    <r>
      <rPr>
        <sz val="8.8000000000000007"/>
        <color rgb="FFFF0000"/>
        <rFont val="Arial"/>
        <family val="2"/>
      </rPr>
      <t>2</t>
    </r>
    <r>
      <rPr>
        <sz val="8"/>
        <color theme="1"/>
        <rFont val="Arial"/>
        <family val="2"/>
      </rPr>
      <t>. Adjusted EBIT: calculating by adjusting Operating profit (EBIT) for amortization of intangible assets included in PPA, non-recurring, restructuring expenses, other adjustments.</t>
    </r>
  </si>
  <si>
    <r>
      <rPr>
        <sz val="8"/>
        <color rgb="FFE22526"/>
        <rFont val="Arial"/>
        <family val="2"/>
      </rPr>
      <t>1</t>
    </r>
    <r>
      <rPr>
        <sz val="8"/>
        <color theme="1"/>
        <rFont val="Arial"/>
        <family val="2"/>
      </rPr>
      <t>. Adjusted EBITDA: calculated by adjusting EBITDA for non-recurring and restructuring expenses.</t>
    </r>
  </si>
  <si>
    <r>
      <rPr>
        <sz val="8"/>
        <color rgb="FFE22526"/>
        <rFont val="Arial"/>
        <family val="2"/>
      </rPr>
      <t>1</t>
    </r>
    <r>
      <rPr>
        <sz val="8"/>
        <color theme="1"/>
        <rFont val="Arial"/>
        <family val="2"/>
      </rPr>
      <t>. Adjusted EBITDA: calculated by adjusting EBITDA for non-recurring, restructuring expenses, other adjustments.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</si>
</sst>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1" formatCode="_-* #,##0_-;\-* #,##0_-;_-* &quot;-&quot;_-;_-@_-"/>
    <numFmt numFmtId="43" formatCode="_-* #,##0.00_-;\-* #,##0.00_-;_-* &quot;-&quot;??_-;_-@_-"/>
    <numFmt numFmtId="164" formatCode="_-* #,##0.00\ _€_-;\-* #,##0.00\ _€_-;_-* &quot;-&quot;??\ _€_-;_-@_-"/>
    <numFmt numFmtId="165" formatCode="0.0%"/>
    <numFmt numFmtId="166" formatCode="#,##0.0"/>
    <numFmt numFmtId="167" formatCode="#,##0.0_);\(#,##0.0\)"/>
    <numFmt numFmtId="168" formatCode="#,##0.00_);\(#,##0.00\)"/>
    <numFmt numFmtId="169" formatCode="#,##0.0000000000000"/>
    <numFmt numFmtId="170" formatCode="#,##0.000_);\(#,##0.000\)"/>
    <numFmt numFmtId="171" formatCode="_(* #,##0.0_);_(* \(#,##0.0\);_(* &quot;-&quot;??_);_(@_)"/>
    <numFmt numFmtId="172" formatCode="#,##0_);\(#,##0\)"/>
    <numFmt numFmtId="173" formatCode="_(&quot;£&quot;* #,##0.00_);_(&quot;£&quot;* \(#,##0.00\);_(&quot;£&quot;* &quot;-&quot;??_);_(@_)"/>
    <numFmt numFmtId="174" formatCode="_-&quot;L.&quot;\ * #,##0_-;\-&quot;L.&quot;\ * #,##0_-;_-&quot;L.&quot;\ * &quot;-&quot;_-;_-@_-"/>
    <numFmt numFmtId="175" formatCode="_-&quot;L.&quot;\ * #,##0.00_-;\-&quot;L.&quot;\ * #,##0.00_-;_-&quot;L.&quot;\ * &quot;-&quot;??_-;_-@_-"/>
    <numFmt numFmtId="176" formatCode="_-* #,##0.0000_-;\-* #,##0.0000_-;_-* &quot;-&quot;_-;_-@_-"/>
    <numFmt numFmtId="177" formatCode="#,##0&quot;L.&quot;_);\(#,##0&quot;L.&quot;\)"/>
    <numFmt numFmtId="178" formatCode="#,##0&quot;L.&quot;_);[Red]\(#,##0&quot;L.&quot;\)"/>
    <numFmt numFmtId="179" formatCode="#,##0.00&quot;L.&quot;_);[Red]\(#,##0.00&quot;L.&quot;\)"/>
    <numFmt numFmtId="180" formatCode="General_)"/>
    <numFmt numFmtId="181" formatCode="#,##0.00_ ;[Red]\-#,##0.00;\-"/>
    <numFmt numFmtId="182" formatCode="#,##0.0_);\(#,##0.0\);\-\ \ ;@"/>
    <numFmt numFmtId="183" formatCode="[$-409]d\-mmm\-yy;@"/>
  </numFmts>
  <fonts count="72">
    <font>
      <sz val="11"/>
      <color theme="1"/>
      <name val="Arial"/>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1"/>
      <color theme="1"/>
      <name val="Arial"/>
      <family val="2"/>
      <scheme val="minor"/>
    </font>
    <font>
      <sz val="10"/>
      <name val="Arial"/>
      <family val="2"/>
    </font>
    <font>
      <b/>
      <sz val="20"/>
      <color indexed="8"/>
      <name val="Arial"/>
      <family val="2"/>
    </font>
    <font>
      <b/>
      <sz val="11"/>
      <color theme="1"/>
      <name val="Arial"/>
      <family val="2"/>
    </font>
    <font>
      <b/>
      <sz val="11"/>
      <name val="Arial"/>
      <family val="2"/>
    </font>
    <font>
      <sz val="10"/>
      <color indexed="8"/>
      <name val="Arial"/>
      <family val="2"/>
    </font>
    <font>
      <b/>
      <sz val="10"/>
      <color theme="1"/>
      <name val="Arial"/>
      <family val="2"/>
    </font>
    <font>
      <sz val="10"/>
      <color theme="4"/>
      <name val="Arial"/>
      <family val="2"/>
    </font>
    <font>
      <b/>
      <sz val="10"/>
      <name val="Arial"/>
      <family val="2"/>
    </font>
    <font>
      <sz val="10"/>
      <color rgb="FF00B050"/>
      <name val="Arial"/>
      <family val="2"/>
    </font>
    <font>
      <b/>
      <sz val="10"/>
      <color rgb="FF00B050"/>
      <name val="Arial"/>
      <family val="2"/>
    </font>
    <font>
      <i/>
      <sz val="10"/>
      <color theme="1"/>
      <name val="Arial"/>
      <family val="2"/>
    </font>
    <font>
      <b/>
      <sz val="20"/>
      <color theme="1"/>
      <name val="Arial"/>
      <family val="2"/>
    </font>
    <font>
      <u/>
      <sz val="11"/>
      <color theme="10"/>
      <name val="Arial"/>
      <family val="2"/>
      <scheme val="minor"/>
    </font>
    <font>
      <sz val="8"/>
      <color theme="1"/>
      <name val="Arial"/>
      <family val="2"/>
    </font>
    <font>
      <sz val="10"/>
      <color rgb="FF0070C0"/>
      <name val="Arial"/>
      <family val="2"/>
    </font>
    <font>
      <b/>
      <sz val="10"/>
      <color rgb="FF0070C0"/>
      <name val="Arial"/>
      <family val="2"/>
    </font>
    <font>
      <sz val="12"/>
      <name val="Times New Roman"/>
      <family val="1"/>
    </font>
    <font>
      <b/>
      <u/>
      <sz val="12"/>
      <color theme="1"/>
      <name val="Arial"/>
      <family val="2"/>
    </font>
    <font>
      <sz val="10"/>
      <color rgb="FFE22526"/>
      <name val="Arial"/>
      <family val="2"/>
    </font>
    <font>
      <sz val="8"/>
      <color rgb="FFE22526"/>
      <name val="Arial"/>
      <family val="2"/>
    </font>
    <font>
      <b/>
      <sz val="10"/>
      <color rgb="FFE22526"/>
      <name val="Arial"/>
      <family val="2"/>
    </font>
    <font>
      <sz val="10"/>
      <color indexed="81"/>
      <name val="Arial"/>
      <family val="2"/>
      <scheme val="major"/>
    </font>
    <font>
      <sz val="10"/>
      <color indexed="81"/>
      <name val="Arial"/>
      <family val="2"/>
    </font>
    <font>
      <i/>
      <sz val="10"/>
      <color rgb="FF00B050"/>
      <name val="Arial"/>
      <family val="2"/>
    </font>
    <font>
      <i/>
      <sz val="10"/>
      <color theme="4"/>
      <name val="Arial"/>
      <family val="2"/>
    </font>
    <font>
      <i/>
      <sz val="10"/>
      <color rgb="FF0070C0"/>
      <name val="Arial"/>
      <family val="2"/>
    </font>
    <font>
      <sz val="10"/>
      <color theme="1"/>
      <name val="Arial"/>
      <family val="2"/>
      <scheme val="minor"/>
    </font>
    <font>
      <sz val="11"/>
      <color theme="1"/>
      <name val="Arial"/>
      <family val="2"/>
    </font>
    <font>
      <u/>
      <sz val="10"/>
      <color theme="10"/>
      <name val="Arial"/>
      <family val="2"/>
    </font>
    <font>
      <b/>
      <sz val="10"/>
      <color indexed="81"/>
      <name val="Arial"/>
      <family val="2"/>
    </font>
    <font>
      <sz val="9"/>
      <color indexed="81"/>
      <name val="Tahoma"/>
      <family val="2"/>
    </font>
    <font>
      <sz val="10"/>
      <color indexed="9"/>
      <name val="Arial"/>
      <family val="2"/>
    </font>
    <font>
      <i/>
      <sz val="10"/>
      <color indexed="13"/>
      <name val="Arial"/>
      <family val="2"/>
    </font>
    <font>
      <i/>
      <sz val="10"/>
      <name val="Arial"/>
      <family val="2"/>
    </font>
    <font>
      <sz val="10"/>
      <color indexed="13"/>
      <name val="Arial"/>
      <family val="2"/>
    </font>
    <font>
      <b/>
      <i/>
      <sz val="10"/>
      <name val="Arial"/>
      <family val="2"/>
    </font>
    <font>
      <b/>
      <i/>
      <sz val="9"/>
      <name val="Arial"/>
      <family val="2"/>
    </font>
    <font>
      <b/>
      <sz val="9"/>
      <name val="Arial"/>
      <family val="2"/>
    </font>
    <font>
      <sz val="8"/>
      <name val="Arial"/>
      <family val="2"/>
    </font>
    <font>
      <b/>
      <sz val="12"/>
      <name val="Times New Roman"/>
      <family val="1"/>
    </font>
    <font>
      <sz val="9"/>
      <color indexed="18"/>
      <name val="Times New Roman"/>
      <family val="1"/>
    </font>
    <font>
      <sz val="10"/>
      <name val="Courier"/>
      <family val="3"/>
    </font>
    <font>
      <sz val="11"/>
      <color theme="1"/>
      <name val="Calibri"/>
      <family val="2"/>
    </font>
    <font>
      <sz val="10"/>
      <color rgb="FF0070C0"/>
      <name val="Arial"/>
      <family val="2"/>
    </font>
    <font>
      <sz val="9"/>
      <color theme="1"/>
      <name val="Arial"/>
      <family val="2"/>
      <scheme val="minor"/>
    </font>
    <font>
      <b/>
      <sz val="10"/>
      <color theme="1"/>
      <name val="Arial"/>
      <family val="2"/>
    </font>
    <font>
      <sz val="10"/>
      <color theme="1"/>
      <name val="Arial"/>
      <family val="2"/>
    </font>
    <font>
      <sz val="9"/>
      <color theme="1"/>
      <name val="Arial"/>
      <family val="2"/>
    </font>
    <font>
      <sz val="12"/>
      <name val="SWISS"/>
    </font>
    <font>
      <sz val="10"/>
      <color rgb="FFFF0000"/>
      <name val="Arial"/>
      <family val="2"/>
    </font>
    <font>
      <sz val="11"/>
      <color rgb="FFFF0000"/>
      <name val="Arial"/>
      <family val="2"/>
    </font>
    <font>
      <sz val="8.8000000000000007"/>
      <color rgb="FFFF0000"/>
      <name val="Arial"/>
      <family val="2"/>
    </font>
    <font>
      <sz val="10"/>
      <color rgb="FF005E00"/>
      <name val="Arial"/>
      <family val="2"/>
    </font>
    <font>
      <b/>
      <sz val="10"/>
      <color rgb="FF003981"/>
      <name val="Arial"/>
      <family val="2"/>
    </font>
    <font>
      <sz val="10"/>
      <color theme="4" tint="-0.499984740745262"/>
      <name val="Arial"/>
      <family val="2"/>
    </font>
    <font>
      <i/>
      <sz val="10"/>
      <color theme="4" tint="-0.499984740745262"/>
      <name val="Arial"/>
      <family val="2"/>
    </font>
  </fonts>
  <fills count="11">
    <fill>
      <patternFill patternType="none"/>
    </fill>
    <fill>
      <patternFill patternType="gray125"/>
    </fill>
    <fill>
      <patternFill patternType="solid">
        <fgColor rgb="FFDDDDDD"/>
        <bgColor indexed="64"/>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54"/>
        <bgColor indexed="64"/>
      </patternFill>
    </fill>
    <fill>
      <patternFill patternType="solid">
        <fgColor indexed="48"/>
        <bgColor indexed="64"/>
      </patternFill>
    </fill>
    <fill>
      <patternFill patternType="solid">
        <fgColor indexed="26"/>
        <bgColor indexed="64"/>
      </patternFill>
    </fill>
    <fill>
      <patternFill patternType="solid">
        <fgColor indexed="27"/>
        <bgColor indexed="64"/>
      </patternFill>
    </fill>
    <fill>
      <patternFill patternType="solid">
        <fgColor indexed="9"/>
      </patternFill>
    </fill>
  </fills>
  <borders count="24">
    <border>
      <left/>
      <right/>
      <top/>
      <bottom/>
      <diagonal/>
    </border>
    <border>
      <left/>
      <right/>
      <top/>
      <bottom style="medium">
        <color indexed="64"/>
      </bottom>
      <diagonal/>
    </border>
    <border>
      <left/>
      <right/>
      <top/>
      <bottom style="hair">
        <color theme="0" tint="-0.14996795556505021"/>
      </bottom>
      <diagonal/>
    </border>
    <border>
      <left/>
      <right/>
      <top style="hair">
        <color theme="0" tint="-0.14996795556505021"/>
      </top>
      <bottom style="thin">
        <color theme="0" tint="-0.499984740745262"/>
      </bottom>
      <diagonal/>
    </border>
    <border>
      <left/>
      <right/>
      <top/>
      <bottom style="thin">
        <color theme="0" tint="-0.499984740745262"/>
      </bottom>
      <diagonal/>
    </border>
    <border>
      <left/>
      <right/>
      <top style="medium">
        <color indexed="64"/>
      </top>
      <bottom/>
      <diagonal/>
    </border>
    <border>
      <left/>
      <right/>
      <top/>
      <bottom style="thin">
        <color theme="0" tint="-0.14993743705557422"/>
      </bottom>
      <diagonal/>
    </border>
    <border>
      <left/>
      <right/>
      <top style="thin">
        <color theme="0" tint="-0.14993743705557422"/>
      </top>
      <bottom style="thin">
        <color theme="0" tint="-0.14993743705557422"/>
      </bottom>
      <diagonal/>
    </border>
    <border>
      <left/>
      <right/>
      <top style="thin">
        <color theme="0" tint="-0.499984740745262"/>
      </top>
      <bottom style="thin">
        <color theme="0" tint="-0.14993743705557422"/>
      </bottom>
      <diagonal/>
    </border>
    <border>
      <left/>
      <right/>
      <top style="thin">
        <color theme="0" tint="-0.499984740745262"/>
      </top>
      <bottom/>
      <diagonal/>
    </border>
    <border>
      <left/>
      <right/>
      <top/>
      <bottom style="hair">
        <color indexed="22"/>
      </bottom>
      <diagonal/>
    </border>
    <border>
      <left/>
      <right/>
      <top/>
      <bottom style="thin">
        <color indexed="64"/>
      </bottom>
      <diagonal/>
    </border>
    <border>
      <left/>
      <right/>
      <top style="thin">
        <color theme="0" tint="-0.14993743705557422"/>
      </top>
      <bottom/>
      <diagonal/>
    </border>
    <border>
      <left style="dotted">
        <color theme="0" tint="-0.499984740745262"/>
      </left>
      <right/>
      <top/>
      <bottom style="thin">
        <color theme="0" tint="-0.499984740745262"/>
      </bottom>
      <diagonal/>
    </border>
    <border>
      <left style="dotted">
        <color theme="0" tint="-0.499984740745262"/>
      </left>
      <right/>
      <top/>
      <bottom style="medium">
        <color indexed="64"/>
      </bottom>
      <diagonal/>
    </border>
    <border>
      <left style="dotted">
        <color theme="0" tint="-0.499984740745262"/>
      </left>
      <right/>
      <top/>
      <bottom/>
      <diagonal/>
    </border>
    <border>
      <left style="dotted">
        <color theme="0" tint="-0.499984740745262"/>
      </left>
      <right/>
      <top style="thin">
        <color theme="0" tint="-0.14993743705557422"/>
      </top>
      <bottom style="thin">
        <color theme="0" tint="-0.14993743705557422"/>
      </bottom>
      <diagonal/>
    </border>
    <border>
      <left style="dotted">
        <color theme="0" tint="-0.499984740745262"/>
      </left>
      <right/>
      <top/>
      <bottom style="thin">
        <color theme="0" tint="-0.14993743705557422"/>
      </bottom>
      <diagonal/>
    </border>
    <border>
      <left style="dotted">
        <color auto="1"/>
      </left>
      <right/>
      <top/>
      <bottom style="medium">
        <color indexed="64"/>
      </bottom>
      <diagonal/>
    </border>
    <border>
      <left style="dotted">
        <color auto="1"/>
      </left>
      <right/>
      <top/>
      <bottom/>
      <diagonal/>
    </border>
    <border>
      <left style="dotted">
        <color auto="1"/>
      </left>
      <right/>
      <top/>
      <bottom style="thin">
        <color theme="0" tint="-0.14993743705557422"/>
      </bottom>
      <diagonal/>
    </border>
    <border>
      <left style="dotted">
        <color auto="1"/>
      </left>
      <right/>
      <top style="thin">
        <color theme="0" tint="-0.14993743705557422"/>
      </top>
      <bottom style="thin">
        <color theme="0" tint="-0.499984740745262"/>
      </bottom>
      <diagonal/>
    </border>
    <border>
      <left style="dotted">
        <color auto="1"/>
      </left>
      <right/>
      <top style="thin">
        <color theme="0" tint="-0.14993743705557422"/>
      </top>
      <bottom style="thin">
        <color theme="0" tint="-0.14993743705557422"/>
      </bottom>
      <diagonal/>
    </border>
    <border>
      <left style="dotted">
        <color auto="1"/>
      </left>
      <right/>
      <top/>
      <bottom style="thin">
        <color theme="0" tint="-0.499984740745262"/>
      </bottom>
      <diagonal/>
    </border>
  </borders>
  <cellStyleXfs count="104">
    <xf numFmtId="0" fontId="0" fillId="0" borderId="0"/>
    <xf numFmtId="0" fontId="13" fillId="0" borderId="0"/>
    <xf numFmtId="0" fontId="14" fillId="0" borderId="0"/>
    <xf numFmtId="0" fontId="14" fillId="0" borderId="0"/>
    <xf numFmtId="0" fontId="14" fillId="0" borderId="0"/>
    <xf numFmtId="0" fontId="16" fillId="0" borderId="0"/>
    <xf numFmtId="0" fontId="15" fillId="0" borderId="0"/>
    <xf numFmtId="0" fontId="28" fillId="0" borderId="0" applyNumberFormat="0" applyFill="0" applyBorder="0" applyAlignment="0" applyProtection="0"/>
    <xf numFmtId="9" fontId="15" fillId="0" borderId="0" applyFont="0" applyFill="0" applyBorder="0" applyAlignment="0" applyProtection="0"/>
    <xf numFmtId="0" fontId="32" fillId="0" borderId="0"/>
    <xf numFmtId="164" fontId="15" fillId="0" borderId="0" applyFont="0" applyFill="0" applyBorder="0" applyAlignment="0" applyProtection="0"/>
    <xf numFmtId="176" fontId="14" fillId="0" borderId="0" applyFont="0" applyFill="0" applyBorder="0" applyAlignment="0" applyProtection="0"/>
    <xf numFmtId="0" fontId="14" fillId="4" borderId="0"/>
    <xf numFmtId="0" fontId="14" fillId="4" borderId="0"/>
    <xf numFmtId="0" fontId="14" fillId="4" borderId="0"/>
    <xf numFmtId="0" fontId="47" fillId="5" borderId="0"/>
    <xf numFmtId="0" fontId="23" fillId="4" borderId="0"/>
    <xf numFmtId="0" fontId="23" fillId="4" borderId="0"/>
    <xf numFmtId="0" fontId="48" fillId="6" borderId="0"/>
    <xf numFmtId="0" fontId="49" fillId="4" borderId="0"/>
    <xf numFmtId="0" fontId="49" fillId="4" borderId="0"/>
    <xf numFmtId="0" fontId="50" fillId="7" borderId="0"/>
    <xf numFmtId="0" fontId="51" fillId="4" borderId="0"/>
    <xf numFmtId="0" fontId="51" fillId="4" borderId="0"/>
    <xf numFmtId="0" fontId="52" fillId="0" borderId="0"/>
    <xf numFmtId="0" fontId="52" fillId="4" borderId="0"/>
    <xf numFmtId="0" fontId="52" fillId="4" borderId="0"/>
    <xf numFmtId="0" fontId="53" fillId="0" borderId="0"/>
    <xf numFmtId="0" fontId="53" fillId="4" borderId="0"/>
    <xf numFmtId="0" fontId="53" fillId="4" borderId="0"/>
    <xf numFmtId="0" fontId="54" fillId="0" borderId="0"/>
    <xf numFmtId="0" fontId="54" fillId="4" borderId="0"/>
    <xf numFmtId="0" fontId="54" fillId="4" borderId="0"/>
    <xf numFmtId="4" fontId="14" fillId="8" borderId="0"/>
    <xf numFmtId="181" fontId="14" fillId="8" borderId="10"/>
    <xf numFmtId="181" fontId="14" fillId="8" borderId="10"/>
    <xf numFmtId="0" fontId="49" fillId="9" borderId="0"/>
    <xf numFmtId="0" fontId="49" fillId="8" borderId="0"/>
    <xf numFmtId="0" fontId="49" fillId="8" borderId="0"/>
    <xf numFmtId="0" fontId="14" fillId="4" borderId="0"/>
    <xf numFmtId="0" fontId="14" fillId="4" borderId="0"/>
    <xf numFmtId="0" fontId="14" fillId="4" borderId="0"/>
    <xf numFmtId="0" fontId="14" fillId="4" borderId="0"/>
    <xf numFmtId="0" fontId="47" fillId="5" borderId="0"/>
    <xf numFmtId="0" fontId="23" fillId="4" borderId="0"/>
    <xf numFmtId="0" fontId="23" fillId="4" borderId="0"/>
    <xf numFmtId="0" fontId="48" fillId="6" borderId="0"/>
    <xf numFmtId="0" fontId="49" fillId="4" borderId="0"/>
    <xf numFmtId="0" fontId="49" fillId="4" borderId="0"/>
    <xf numFmtId="0" fontId="50" fillId="7" borderId="0"/>
    <xf numFmtId="0" fontId="14" fillId="4" borderId="0"/>
    <xf numFmtId="0" fontId="14" fillId="4" borderId="0"/>
    <xf numFmtId="0" fontId="52" fillId="0" borderId="0"/>
    <xf numFmtId="0" fontId="52" fillId="4" borderId="0"/>
    <xf numFmtId="0" fontId="52" fillId="4" borderId="0"/>
    <xf numFmtId="0" fontId="53" fillId="0" borderId="0"/>
    <xf numFmtId="0" fontId="53" fillId="4" borderId="0"/>
    <xf numFmtId="0" fontId="53" fillId="4" borderId="0"/>
    <xf numFmtId="0" fontId="54" fillId="0" borderId="0"/>
    <xf numFmtId="0" fontId="54" fillId="4" borderId="0"/>
    <xf numFmtId="0" fontId="54" fillId="4" borderId="0"/>
    <xf numFmtId="173" fontId="14" fillId="0" borderId="0" applyFont="0" applyFill="0" applyBorder="0" applyAlignment="0" applyProtection="0"/>
    <xf numFmtId="177" fontId="14" fillId="0" borderId="0" applyFont="0" applyFill="0" applyBorder="0" applyAlignment="0" applyProtection="0"/>
    <xf numFmtId="0" fontId="55" fillId="0" borderId="11" applyNumberFormat="0" applyFill="0" applyAlignment="0" applyProtection="0"/>
    <xf numFmtId="178" fontId="14" fillId="0" borderId="0" applyFont="0" applyFill="0" applyBorder="0" applyAlignment="0" applyProtection="0"/>
    <xf numFmtId="179" fontId="14" fillId="0" borderId="0" applyFont="0" applyFill="0" applyBorder="0" applyAlignment="0" applyProtection="0"/>
    <xf numFmtId="3" fontId="56" fillId="0" borderId="11">
      <alignment horizontal="left"/>
    </xf>
    <xf numFmtId="41" fontId="14" fillId="0" borderId="0" applyFont="0" applyFill="0" applyBorder="0" applyAlignment="0" applyProtection="0"/>
    <xf numFmtId="43" fontId="14" fillId="0" borderId="0" applyFont="0" applyFill="0" applyBorder="0" applyAlignment="0" applyProtection="0"/>
    <xf numFmtId="180" fontId="57" fillId="0" borderId="0"/>
    <xf numFmtId="9" fontId="14" fillId="0" borderId="0" applyFont="0" applyFill="0" applyBorder="0" applyAlignment="0" applyProtection="0"/>
    <xf numFmtId="0" fontId="14" fillId="4" borderId="0"/>
    <xf numFmtId="174" fontId="14" fillId="0" borderId="0" applyFont="0" applyFill="0" applyBorder="0" applyAlignment="0" applyProtection="0"/>
    <xf numFmtId="175" fontId="14" fillId="0" borderId="0" applyFont="0" applyFill="0" applyBorder="0" applyAlignment="0" applyProtection="0"/>
    <xf numFmtId="0" fontId="15" fillId="0" borderId="0"/>
    <xf numFmtId="43" fontId="14" fillId="0" borderId="0" applyFont="0" applyFill="0" applyBorder="0" applyAlignment="0" applyProtection="0"/>
    <xf numFmtId="0" fontId="14" fillId="0" borderId="0"/>
    <xf numFmtId="0" fontId="14" fillId="0" borderId="0"/>
    <xf numFmtId="43" fontId="14" fillId="0" borderId="0" applyFont="0" applyFill="0" applyBorder="0" applyAlignment="0" applyProtection="0"/>
    <xf numFmtId="0" fontId="58" fillId="0" borderId="0"/>
    <xf numFmtId="183" fontId="15" fillId="0" borderId="0"/>
    <xf numFmtId="183" fontId="15" fillId="0" borderId="0"/>
    <xf numFmtId="43" fontId="15" fillId="0" borderId="0" applyFont="0" applyFill="0" applyBorder="0" applyAlignment="0" applyProtection="0"/>
    <xf numFmtId="183" fontId="15" fillId="0" borderId="0"/>
    <xf numFmtId="164"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170" fontId="64" fillId="1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cellStyleXfs>
  <cellXfs count="228">
    <xf numFmtId="0" fontId="0" fillId="0" borderId="0" xfId="0"/>
    <xf numFmtId="0" fontId="27" fillId="0" borderId="0" xfId="0" applyFont="1" applyAlignment="1">
      <alignment vertical="center"/>
    </xf>
    <xf numFmtId="0" fontId="13" fillId="0" borderId="0" xfId="0" applyFont="1" applyAlignment="1">
      <alignment vertical="center"/>
    </xf>
    <xf numFmtId="0" fontId="19" fillId="0" borderId="0" xfId="0" applyFont="1" applyAlignment="1">
      <alignment vertical="center"/>
    </xf>
    <xf numFmtId="0" fontId="14" fillId="0" borderId="0" xfId="0" applyFont="1" applyAlignment="1">
      <alignment vertical="center"/>
    </xf>
    <xf numFmtId="0" fontId="18" fillId="0" borderId="0" xfId="0" applyFont="1" applyAlignment="1">
      <alignment vertical="center"/>
    </xf>
    <xf numFmtId="0" fontId="30" fillId="0" borderId="0" xfId="0" applyFont="1" applyAlignment="1">
      <alignment horizontal="left" vertical="center"/>
    </xf>
    <xf numFmtId="0" fontId="17" fillId="0" borderId="0" xfId="0" applyFont="1" applyAlignment="1">
      <alignment vertical="center"/>
    </xf>
    <xf numFmtId="0" fontId="17" fillId="0" borderId="0" xfId="0" applyFont="1" applyAlignment="1">
      <alignment horizontal="right" vertical="center"/>
    </xf>
    <xf numFmtId="0" fontId="21" fillId="0" borderId="1" xfId="0" applyFont="1" applyBorder="1" applyAlignment="1">
      <alignment vertical="center"/>
    </xf>
    <xf numFmtId="0" fontId="21" fillId="0" borderId="1" xfId="0" applyFont="1" applyBorder="1" applyAlignment="1">
      <alignment horizontal="right" vertical="center"/>
    </xf>
    <xf numFmtId="0" fontId="13" fillId="0" borderId="6" xfId="0" applyFont="1" applyBorder="1" applyAlignment="1">
      <alignment vertical="center"/>
    </xf>
    <xf numFmtId="0" fontId="13" fillId="0" borderId="7" xfId="0" applyFont="1" applyBorder="1" applyAlignment="1">
      <alignment horizontal="left" vertical="center"/>
    </xf>
    <xf numFmtId="0" fontId="13" fillId="0" borderId="6" xfId="0" applyFont="1" applyBorder="1" applyAlignment="1">
      <alignment vertical="center" wrapText="1"/>
    </xf>
    <xf numFmtId="0" fontId="21" fillId="0" borderId="0" xfId="0" applyFont="1" applyAlignment="1">
      <alignment vertical="center"/>
    </xf>
    <xf numFmtId="167" fontId="13" fillId="0" borderId="0" xfId="0" applyNumberFormat="1" applyFont="1" applyAlignment="1">
      <alignment vertical="center"/>
    </xf>
    <xf numFmtId="0" fontId="13" fillId="0" borderId="7" xfId="0" applyFont="1" applyBorder="1" applyAlignment="1">
      <alignment horizontal="left" vertical="center" indent="1"/>
    </xf>
    <xf numFmtId="0" fontId="13" fillId="0" borderId="6" xfId="0" applyFont="1" applyBorder="1" applyAlignment="1">
      <alignment horizontal="left" vertical="center"/>
    </xf>
    <xf numFmtId="0" fontId="21" fillId="0" borderId="4" xfId="0" applyFont="1" applyBorder="1" applyAlignment="1">
      <alignment vertical="center"/>
    </xf>
    <xf numFmtId="0" fontId="13" fillId="0" borderId="6" xfId="0" applyFont="1" applyBorder="1" applyAlignment="1">
      <alignment horizontal="left" vertical="center" indent="1"/>
    </xf>
    <xf numFmtId="0" fontId="13" fillId="0" borderId="0" xfId="0" applyFont="1" applyAlignment="1">
      <alignment horizontal="right" vertical="center"/>
    </xf>
    <xf numFmtId="167" fontId="31" fillId="0" borderId="4" xfId="0" applyNumberFormat="1" applyFont="1" applyBorder="1" applyAlignment="1">
      <alignment horizontal="right" vertical="center"/>
    </xf>
    <xf numFmtId="167" fontId="13" fillId="0" borderId="0" xfId="0" applyNumberFormat="1" applyFont="1" applyAlignment="1">
      <alignment horizontal="right" vertical="center"/>
    </xf>
    <xf numFmtId="167" fontId="30" fillId="0" borderId="6" xfId="0" applyNumberFormat="1" applyFont="1" applyBorder="1" applyAlignment="1">
      <alignment horizontal="right" vertical="center"/>
    </xf>
    <xf numFmtId="167" fontId="30" fillId="0" borderId="7" xfId="0" applyNumberFormat="1" applyFont="1" applyBorder="1" applyAlignment="1">
      <alignment horizontal="right" vertical="center"/>
    </xf>
    <xf numFmtId="165" fontId="14" fillId="0" borderId="6" xfId="0" applyNumberFormat="1" applyFont="1" applyBorder="1" applyAlignment="1">
      <alignment horizontal="right" vertical="center"/>
    </xf>
    <xf numFmtId="167" fontId="23" fillId="0" borderId="4" xfId="0" applyNumberFormat="1" applyFont="1" applyBorder="1" applyAlignment="1">
      <alignment horizontal="right" vertical="center"/>
    </xf>
    <xf numFmtId="0" fontId="13" fillId="0" borderId="8" xfId="0" applyFont="1" applyBorder="1" applyAlignment="1">
      <alignment horizontal="left" vertical="center"/>
    </xf>
    <xf numFmtId="165" fontId="14" fillId="0" borderId="8" xfId="0" applyNumberFormat="1" applyFont="1" applyBorder="1" applyAlignment="1">
      <alignment horizontal="right" vertical="center"/>
    </xf>
    <xf numFmtId="167" fontId="21" fillId="0" borderId="4" xfId="0" applyNumberFormat="1" applyFont="1" applyBorder="1" applyAlignment="1">
      <alignment horizontal="right" vertical="center"/>
    </xf>
    <xf numFmtId="167" fontId="30" fillId="0" borderId="8" xfId="0" applyNumberFormat="1" applyFont="1" applyBorder="1" applyAlignment="1">
      <alignment horizontal="right" vertical="center"/>
    </xf>
    <xf numFmtId="165" fontId="14" fillId="0" borderId="7" xfId="0" applyNumberFormat="1" applyFont="1" applyBorder="1" applyAlignment="1">
      <alignment horizontal="right" vertical="center"/>
    </xf>
    <xf numFmtId="167" fontId="13" fillId="0" borderId="7" xfId="0" applyNumberFormat="1" applyFont="1" applyBorder="1" applyAlignment="1">
      <alignment horizontal="right" vertical="center"/>
    </xf>
    <xf numFmtId="167" fontId="24" fillId="0" borderId="6" xfId="0" applyNumberFormat="1" applyFont="1" applyBorder="1" applyAlignment="1">
      <alignment horizontal="right" vertical="center"/>
    </xf>
    <xf numFmtId="0" fontId="13" fillId="0" borderId="8" xfId="0" applyFont="1" applyBorder="1" applyAlignment="1">
      <alignment vertical="center"/>
    </xf>
    <xf numFmtId="9" fontId="14" fillId="0" borderId="8" xfId="0" applyNumberFormat="1" applyFont="1" applyBorder="1" applyAlignment="1">
      <alignment horizontal="right" vertical="center"/>
    </xf>
    <xf numFmtId="167" fontId="25" fillId="0" borderId="4" xfId="0" applyNumberFormat="1" applyFont="1" applyBorder="1" applyAlignment="1">
      <alignment horizontal="right" vertical="center"/>
    </xf>
    <xf numFmtId="167" fontId="13" fillId="0" borderId="8" xfId="0" applyNumberFormat="1" applyFont="1" applyBorder="1" applyAlignment="1">
      <alignment horizontal="right" vertical="center"/>
    </xf>
    <xf numFmtId="0" fontId="29" fillId="0" borderId="0" xfId="0" applyFont="1" applyAlignment="1">
      <alignment vertical="center"/>
    </xf>
    <xf numFmtId="0" fontId="13" fillId="0" borderId="8" xfId="0" applyFont="1" applyBorder="1" applyAlignment="1">
      <alignment horizontal="left" vertical="center" indent="1"/>
    </xf>
    <xf numFmtId="0" fontId="13" fillId="0" borderId="7" xfId="0" applyFont="1" applyBorder="1" applyAlignment="1">
      <alignment horizontal="left" vertical="center" indent="2"/>
    </xf>
    <xf numFmtId="0" fontId="13" fillId="0" borderId="6" xfId="0" applyFont="1" applyBorder="1" applyAlignment="1">
      <alignment horizontal="left" vertical="center" indent="2"/>
    </xf>
    <xf numFmtId="167" fontId="22" fillId="0" borderId="0" xfId="0" applyNumberFormat="1" applyFont="1" applyAlignment="1">
      <alignment horizontal="right" vertical="center"/>
    </xf>
    <xf numFmtId="167" fontId="22" fillId="0" borderId="6" xfId="0" applyNumberFormat="1" applyFont="1" applyBorder="1" applyAlignment="1">
      <alignment horizontal="right" vertical="center"/>
    </xf>
    <xf numFmtId="167" fontId="22" fillId="0" borderId="7" xfId="0" applyNumberFormat="1" applyFont="1" applyBorder="1" applyAlignment="1">
      <alignment horizontal="right" vertical="center"/>
    </xf>
    <xf numFmtId="167" fontId="22" fillId="0" borderId="8" xfId="0" applyNumberFormat="1" applyFont="1" applyBorder="1" applyAlignment="1">
      <alignment horizontal="right" vertical="center"/>
    </xf>
    <xf numFmtId="0" fontId="22" fillId="0" borderId="0" xfId="0" applyFont="1" applyAlignment="1">
      <alignment horizontal="right" vertical="center"/>
    </xf>
    <xf numFmtId="167" fontId="24" fillId="0" borderId="8" xfId="0" applyNumberFormat="1" applyFont="1" applyBorder="1" applyAlignment="1">
      <alignment horizontal="right" vertical="center"/>
    </xf>
    <xf numFmtId="167" fontId="24" fillId="0" borderId="7" xfId="0" applyNumberFormat="1" applyFont="1" applyBorder="1" applyAlignment="1">
      <alignment horizontal="right" vertical="center"/>
    </xf>
    <xf numFmtId="167" fontId="14" fillId="0" borderId="6" xfId="0" applyNumberFormat="1" applyFont="1" applyBorder="1" applyAlignment="1">
      <alignment horizontal="right" vertical="center"/>
    </xf>
    <xf numFmtId="167" fontId="14" fillId="0" borderId="8" xfId="0" applyNumberFormat="1" applyFont="1" applyBorder="1" applyAlignment="1">
      <alignment horizontal="right" vertical="center"/>
    </xf>
    <xf numFmtId="167" fontId="14" fillId="0" borderId="7" xfId="0" applyNumberFormat="1" applyFont="1" applyBorder="1" applyAlignment="1">
      <alignment horizontal="right" vertical="center"/>
    </xf>
    <xf numFmtId="167" fontId="14" fillId="0" borderId="2" xfId="0" applyNumberFormat="1" applyFont="1" applyBorder="1" applyAlignment="1">
      <alignment horizontal="right" vertical="center"/>
    </xf>
    <xf numFmtId="0" fontId="21" fillId="0" borderId="7" xfId="0" applyFont="1" applyBorder="1" applyAlignment="1">
      <alignment horizontal="left" vertical="center"/>
    </xf>
    <xf numFmtId="167" fontId="21" fillId="0" borderId="7" xfId="0" applyNumberFormat="1" applyFont="1" applyBorder="1" applyAlignment="1">
      <alignment horizontal="right" vertical="center"/>
    </xf>
    <xf numFmtId="0" fontId="13" fillId="0" borderId="7" xfId="0" applyFont="1" applyBorder="1" applyAlignment="1">
      <alignment horizontal="left" vertical="center" indent="3"/>
    </xf>
    <xf numFmtId="0" fontId="13" fillId="0" borderId="2" xfId="0" applyFont="1" applyBorder="1" applyAlignment="1">
      <alignment horizontal="left" vertical="center" indent="2"/>
    </xf>
    <xf numFmtId="0" fontId="21" fillId="0" borderId="7" xfId="0" applyFont="1" applyBorder="1" applyAlignment="1">
      <alignment horizontal="left" vertical="center" indent="1"/>
    </xf>
    <xf numFmtId="166" fontId="13" fillId="0" borderId="6" xfId="0" applyNumberFormat="1" applyFont="1" applyBorder="1" applyAlignment="1">
      <alignment horizontal="left" vertical="center"/>
    </xf>
    <xf numFmtId="0" fontId="13" fillId="0" borderId="5" xfId="0" applyFont="1" applyBorder="1" applyAlignment="1">
      <alignment vertical="center"/>
    </xf>
    <xf numFmtId="0" fontId="13" fillId="0" borderId="9" xfId="0" applyFont="1" applyBorder="1" applyAlignment="1">
      <alignment vertical="center"/>
    </xf>
    <xf numFmtId="167" fontId="13" fillId="0" borderId="9" xfId="0" applyNumberFormat="1" applyFont="1" applyBorder="1" applyAlignment="1">
      <alignment horizontal="right" vertical="center"/>
    </xf>
    <xf numFmtId="0" fontId="21" fillId="2" borderId="0" xfId="0" applyFont="1" applyFill="1" applyAlignment="1">
      <alignment vertical="center"/>
    </xf>
    <xf numFmtId="166" fontId="21" fillId="2" borderId="0" xfId="0" applyNumberFormat="1" applyFont="1" applyFill="1" applyAlignment="1">
      <alignment vertical="center"/>
    </xf>
    <xf numFmtId="0" fontId="21" fillId="2" borderId="4" xfId="0" applyFont="1" applyFill="1" applyBorder="1" applyAlignment="1">
      <alignment vertical="center"/>
    </xf>
    <xf numFmtId="167" fontId="21" fillId="2" borderId="4" xfId="0" applyNumberFormat="1" applyFont="1" applyFill="1" applyBorder="1" applyAlignment="1">
      <alignment horizontal="right" vertical="center"/>
    </xf>
    <xf numFmtId="167" fontId="31" fillId="2" borderId="4" xfId="0" applyNumberFormat="1" applyFont="1" applyFill="1" applyBorder="1" applyAlignment="1">
      <alignment horizontal="right" vertical="center"/>
    </xf>
    <xf numFmtId="167" fontId="23" fillId="2" borderId="4" xfId="0" applyNumberFormat="1" applyFont="1" applyFill="1" applyBorder="1" applyAlignment="1">
      <alignment horizontal="right" vertical="center"/>
    </xf>
    <xf numFmtId="167" fontId="25" fillId="2" borderId="4" xfId="0" applyNumberFormat="1" applyFont="1" applyFill="1" applyBorder="1" applyAlignment="1">
      <alignment horizontal="right" vertical="center"/>
    </xf>
    <xf numFmtId="0" fontId="23" fillId="2" borderId="4" xfId="0" applyFont="1" applyFill="1" applyBorder="1" applyAlignment="1">
      <alignment vertical="center"/>
    </xf>
    <xf numFmtId="0" fontId="21" fillId="2" borderId="3" xfId="0" applyFont="1" applyFill="1" applyBorder="1" applyAlignment="1">
      <alignment vertical="center"/>
    </xf>
    <xf numFmtId="167" fontId="21" fillId="2" borderId="3" xfId="0" applyNumberFormat="1" applyFont="1" applyFill="1" applyBorder="1" applyAlignment="1">
      <alignment horizontal="right" vertical="center"/>
    </xf>
    <xf numFmtId="0" fontId="13" fillId="0" borderId="9" xfId="0" applyFont="1" applyBorder="1" applyAlignment="1">
      <alignment horizontal="left" vertical="center" indent="1"/>
    </xf>
    <xf numFmtId="167" fontId="22" fillId="0" borderId="9" xfId="0" applyNumberFormat="1" applyFont="1" applyBorder="1" applyAlignment="1">
      <alignment horizontal="right" vertical="center"/>
    </xf>
    <xf numFmtId="167" fontId="24" fillId="0" borderId="9" xfId="0" applyNumberFormat="1" applyFont="1" applyBorder="1" applyAlignment="1">
      <alignment horizontal="right" vertical="center"/>
    </xf>
    <xf numFmtId="0" fontId="21" fillId="0" borderId="6" xfId="0" applyFont="1" applyBorder="1" applyAlignment="1">
      <alignment vertical="center"/>
    </xf>
    <xf numFmtId="0" fontId="21" fillId="2" borderId="4" xfId="0" applyFont="1" applyFill="1" applyBorder="1" applyAlignment="1">
      <alignment horizontal="left" vertical="center"/>
    </xf>
    <xf numFmtId="0" fontId="21" fillId="0" borderId="6" xfId="0" applyFont="1" applyBorder="1" applyAlignment="1">
      <alignment horizontal="left" vertical="center"/>
    </xf>
    <xf numFmtId="167" fontId="25" fillId="0" borderId="6" xfId="0" applyNumberFormat="1" applyFont="1" applyBorder="1" applyAlignment="1">
      <alignment horizontal="right" vertical="center"/>
    </xf>
    <xf numFmtId="0" fontId="21" fillId="0" borderId="4" xfId="0" applyFont="1" applyBorder="1" applyAlignment="1">
      <alignment horizontal="left" vertical="center"/>
    </xf>
    <xf numFmtId="0" fontId="21" fillId="0" borderId="6" xfId="0" applyFont="1" applyBorder="1" applyAlignment="1">
      <alignment horizontal="left" vertical="center" indent="3"/>
    </xf>
    <xf numFmtId="0" fontId="21" fillId="0" borderId="7" xfId="0" applyFont="1" applyBorder="1" applyAlignment="1">
      <alignment horizontal="left" vertical="center" indent="2"/>
    </xf>
    <xf numFmtId="0" fontId="12" fillId="0" borderId="0" xfId="0" applyFont="1" applyAlignment="1">
      <alignment horizontal="right" vertical="center"/>
    </xf>
    <xf numFmtId="0" fontId="12" fillId="0" borderId="0" xfId="0" applyFont="1" applyAlignment="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indent="2"/>
    </xf>
    <xf numFmtId="0" fontId="12" fillId="0" borderId="7" xfId="0" applyFont="1" applyBorder="1" applyAlignment="1">
      <alignment horizontal="left" vertical="center"/>
    </xf>
    <xf numFmtId="0" fontId="12" fillId="0" borderId="7" xfId="0" applyFont="1" applyBorder="1" applyAlignment="1">
      <alignment horizontal="left" vertical="center" indent="1"/>
    </xf>
    <xf numFmtId="167" fontId="12" fillId="0" borderId="0" xfId="0" applyNumberFormat="1" applyFont="1" applyAlignment="1">
      <alignment horizontal="right" vertical="center"/>
    </xf>
    <xf numFmtId="0" fontId="12" fillId="0" borderId="7" xfId="0" applyFont="1" applyBorder="1" applyAlignment="1">
      <alignment horizontal="left" vertical="center" indent="3"/>
    </xf>
    <xf numFmtId="0" fontId="12" fillId="0" borderId="6" xfId="0" applyFont="1" applyBorder="1" applyAlignment="1">
      <alignment horizontal="left" vertical="center" indent="1"/>
    </xf>
    <xf numFmtId="167" fontId="13" fillId="0" borderId="6" xfId="0" applyNumberFormat="1" applyFont="1" applyBorder="1" applyAlignment="1">
      <alignment horizontal="left" vertical="center"/>
    </xf>
    <xf numFmtId="167" fontId="13" fillId="0" borderId="7" xfId="0" applyNumberFormat="1" applyFont="1" applyBorder="1" applyAlignment="1">
      <alignment horizontal="left" vertical="center"/>
    </xf>
    <xf numFmtId="167" fontId="13" fillId="0" borderId="7" xfId="0" applyNumberFormat="1" applyFont="1" applyBorder="1" applyAlignment="1">
      <alignment vertical="center"/>
    </xf>
    <xf numFmtId="167" fontId="21" fillId="0" borderId="4" xfId="0" applyNumberFormat="1" applyFont="1" applyBorder="1" applyAlignment="1">
      <alignment vertical="center"/>
    </xf>
    <xf numFmtId="167" fontId="21" fillId="0" borderId="6" xfId="0" applyNumberFormat="1" applyFont="1" applyBorder="1" applyAlignment="1">
      <alignment vertical="center"/>
    </xf>
    <xf numFmtId="0" fontId="21" fillId="0" borderId="7" xfId="0" applyFont="1" applyBorder="1" applyAlignment="1">
      <alignment vertical="center"/>
    </xf>
    <xf numFmtId="167" fontId="21" fillId="0" borderId="7" xfId="0" applyNumberFormat="1" applyFont="1" applyBorder="1" applyAlignment="1">
      <alignment vertical="center"/>
    </xf>
    <xf numFmtId="167" fontId="21" fillId="2" borderId="4" xfId="0" applyNumberFormat="1" applyFont="1" applyFill="1" applyBorder="1" applyAlignment="1">
      <alignment horizontal="left" vertical="center"/>
    </xf>
    <xf numFmtId="167" fontId="21" fillId="0" borderId="6" xfId="0" applyNumberFormat="1" applyFont="1" applyBorder="1" applyAlignment="1">
      <alignment horizontal="left" vertical="center"/>
    </xf>
    <xf numFmtId="167" fontId="21" fillId="0" borderId="7" xfId="0" applyNumberFormat="1" applyFont="1" applyBorder="1" applyAlignment="1">
      <alignment horizontal="left" vertical="center"/>
    </xf>
    <xf numFmtId="167" fontId="23" fillId="0" borderId="7" xfId="0" applyNumberFormat="1" applyFont="1" applyBorder="1" applyAlignment="1">
      <alignment horizontal="right" vertical="center"/>
    </xf>
    <xf numFmtId="167" fontId="21" fillId="0" borderId="4" xfId="0" applyNumberFormat="1" applyFont="1" applyBorder="1" applyAlignment="1">
      <alignment horizontal="left" vertical="center"/>
    </xf>
    <xf numFmtId="0" fontId="33" fillId="0" borderId="0" xfId="0" applyFont="1" applyAlignment="1">
      <alignmen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8" xfId="0" applyFont="1" applyBorder="1" applyAlignment="1">
      <alignment vertical="center"/>
    </xf>
    <xf numFmtId="0" fontId="11" fillId="0" borderId="7" xfId="0" applyFont="1" applyBorder="1" applyAlignment="1">
      <alignment vertical="center"/>
    </xf>
    <xf numFmtId="0" fontId="10" fillId="0" borderId="7" xfId="0" applyFont="1" applyBorder="1" applyAlignment="1">
      <alignment horizontal="left" vertical="center" indent="1"/>
    </xf>
    <xf numFmtId="0" fontId="9" fillId="0" borderId="6" xfId="0" applyFont="1" applyBorder="1" applyAlignment="1">
      <alignment vertical="center"/>
    </xf>
    <xf numFmtId="0" fontId="8" fillId="0" borderId="0" xfId="0" applyFont="1" applyAlignment="1">
      <alignment horizontal="right" vertical="center"/>
    </xf>
    <xf numFmtId="0" fontId="7" fillId="0" borderId="6" xfId="0" applyFont="1" applyBorder="1" applyAlignment="1">
      <alignment vertical="center"/>
    </xf>
    <xf numFmtId="165" fontId="13" fillId="0" borderId="0" xfId="8" applyNumberFormat="1" applyFont="1" applyAlignment="1">
      <alignment vertical="center"/>
    </xf>
    <xf numFmtId="165" fontId="13" fillId="0" borderId="0" xfId="8" applyNumberFormat="1" applyFont="1" applyAlignment="1">
      <alignment horizontal="right" vertical="center"/>
    </xf>
    <xf numFmtId="0" fontId="14" fillId="0" borderId="6" xfId="0" applyFont="1" applyBorder="1" applyAlignment="1">
      <alignment horizontal="left" vertical="center" indent="2"/>
    </xf>
    <xf numFmtId="0" fontId="14" fillId="0" borderId="7" xfId="0" applyFont="1" applyBorder="1" applyAlignment="1">
      <alignment horizontal="left" vertical="center" indent="2"/>
    </xf>
    <xf numFmtId="0" fontId="14" fillId="0" borderId="7" xfId="0" applyFont="1" applyBorder="1" applyAlignment="1">
      <alignment horizontal="left" vertical="center" indent="1"/>
    </xf>
    <xf numFmtId="168" fontId="13" fillId="0" borderId="8" xfId="0" applyNumberFormat="1" applyFont="1" applyBorder="1" applyAlignment="1">
      <alignment horizontal="right" vertical="center"/>
    </xf>
    <xf numFmtId="0" fontId="6" fillId="0" borderId="7" xfId="0" applyFont="1" applyBorder="1" applyAlignment="1">
      <alignment horizontal="left" vertical="center" indent="1"/>
    </xf>
    <xf numFmtId="0" fontId="6" fillId="0" borderId="6" xfId="0" applyFont="1" applyBorder="1" applyAlignment="1">
      <alignment horizontal="left" vertical="center"/>
    </xf>
    <xf numFmtId="165" fontId="30" fillId="0" borderId="6" xfId="0" applyNumberFormat="1" applyFont="1" applyBorder="1" applyAlignment="1">
      <alignment horizontal="right" vertical="center"/>
    </xf>
    <xf numFmtId="165" fontId="24" fillId="0" borderId="6" xfId="0" applyNumberFormat="1" applyFont="1" applyBorder="1" applyAlignment="1">
      <alignment horizontal="right" vertical="center"/>
    </xf>
    <xf numFmtId="165" fontId="30" fillId="0" borderId="0" xfId="0" applyNumberFormat="1" applyFont="1" applyAlignment="1">
      <alignment horizontal="right" vertical="center"/>
    </xf>
    <xf numFmtId="165" fontId="13" fillId="0" borderId="0" xfId="0" applyNumberFormat="1" applyFont="1" applyAlignment="1">
      <alignment horizontal="right" vertical="center"/>
    </xf>
    <xf numFmtId="165" fontId="23" fillId="2" borderId="4" xfId="0" applyNumberFormat="1" applyFont="1" applyFill="1" applyBorder="1" applyAlignment="1">
      <alignment horizontal="right" vertical="center"/>
    </xf>
    <xf numFmtId="0" fontId="30" fillId="0" borderId="0" xfId="0" applyFont="1" applyAlignment="1">
      <alignment horizontal="right" vertical="center"/>
    </xf>
    <xf numFmtId="167" fontId="13" fillId="0" borderId="0" xfId="0" applyNumberFormat="1" applyFont="1" applyAlignment="1">
      <alignment horizontal="left" vertical="center"/>
    </xf>
    <xf numFmtId="167" fontId="30" fillId="0" borderId="0" xfId="0" applyNumberFormat="1" applyFont="1" applyAlignment="1">
      <alignment horizontal="right" vertical="center"/>
    </xf>
    <xf numFmtId="0" fontId="12" fillId="0" borderId="0" xfId="0" applyFont="1" applyAlignment="1">
      <alignment horizontal="left" vertical="center" indent="1"/>
    </xf>
    <xf numFmtId="0" fontId="12" fillId="0" borderId="0" xfId="0" applyFont="1" applyAlignment="1">
      <alignment horizontal="left" vertical="center"/>
    </xf>
    <xf numFmtId="0" fontId="13" fillId="0" borderId="6" xfId="0" applyFont="1" applyBorder="1" applyAlignment="1">
      <alignment horizontal="left" vertical="center" indent="3"/>
    </xf>
    <xf numFmtId="0" fontId="14" fillId="0" borderId="6" xfId="0" applyFont="1" applyBorder="1" applyAlignment="1">
      <alignment horizontal="left" vertical="center" indent="3"/>
    </xf>
    <xf numFmtId="0" fontId="5" fillId="0" borderId="7" xfId="0" applyFont="1" applyBorder="1" applyAlignment="1">
      <alignment horizontal="left" vertical="center"/>
    </xf>
    <xf numFmtId="0" fontId="4" fillId="0" borderId="0" xfId="0" applyFont="1" applyAlignment="1">
      <alignment horizontal="left" vertical="center" indent="1"/>
    </xf>
    <xf numFmtId="167" fontId="25" fillId="2" borderId="0" xfId="0" applyNumberFormat="1" applyFont="1" applyFill="1" applyAlignment="1">
      <alignment horizontal="right" vertical="center"/>
    </xf>
    <xf numFmtId="167" fontId="14" fillId="0" borderId="0" xfId="0" applyNumberFormat="1" applyFont="1" applyAlignment="1">
      <alignment horizontal="right" vertical="center"/>
    </xf>
    <xf numFmtId="0" fontId="14" fillId="0" borderId="0" xfId="0" applyFont="1" applyAlignment="1">
      <alignment horizontal="right" vertical="center"/>
    </xf>
    <xf numFmtId="0" fontId="3" fillId="0" borderId="8" xfId="0" applyFont="1" applyBorder="1" applyAlignment="1">
      <alignment horizontal="left" vertical="center"/>
    </xf>
    <xf numFmtId="166" fontId="22" fillId="0" borderId="0" xfId="0" applyNumberFormat="1" applyFont="1" applyAlignment="1">
      <alignment horizontal="right" vertical="center"/>
    </xf>
    <xf numFmtId="170" fontId="13" fillId="0" borderId="7" xfId="0" applyNumberFormat="1" applyFont="1" applyBorder="1" applyAlignment="1">
      <alignment horizontal="right" vertical="center"/>
    </xf>
    <xf numFmtId="0" fontId="26" fillId="0" borderId="7" xfId="0" applyFont="1" applyBorder="1" applyAlignment="1">
      <alignment horizontal="left" vertical="center" indent="3"/>
    </xf>
    <xf numFmtId="0" fontId="26" fillId="0" borderId="7" xfId="0" applyFont="1" applyBorder="1" applyAlignment="1">
      <alignment horizontal="left" vertical="center"/>
    </xf>
    <xf numFmtId="167" fontId="39" fillId="0" borderId="7" xfId="0" applyNumberFormat="1" applyFont="1" applyBorder="1" applyAlignment="1">
      <alignment horizontal="right" vertical="center"/>
    </xf>
    <xf numFmtId="167" fontId="40" fillId="0" borderId="7" xfId="0" applyNumberFormat="1" applyFont="1" applyBorder="1" applyAlignment="1">
      <alignment horizontal="right" vertical="center"/>
    </xf>
    <xf numFmtId="167" fontId="41" fillId="0" borderId="7" xfId="0" applyNumberFormat="1" applyFont="1" applyBorder="1" applyAlignment="1">
      <alignment horizontal="right" vertical="center"/>
    </xf>
    <xf numFmtId="165" fontId="22" fillId="0" borderId="0" xfId="8" applyNumberFormat="1" applyFont="1" applyAlignment="1">
      <alignment horizontal="right" vertical="center"/>
    </xf>
    <xf numFmtId="171" fontId="18" fillId="3" borderId="0" xfId="10" applyNumberFormat="1" applyFont="1" applyFill="1" applyBorder="1" applyAlignment="1">
      <alignment horizontal="right"/>
    </xf>
    <xf numFmtId="0" fontId="2" fillId="0" borderId="0" xfId="0" applyFont="1" applyAlignment="1">
      <alignment vertical="center"/>
    </xf>
    <xf numFmtId="0" fontId="2" fillId="0" borderId="0" xfId="0" applyFont="1" applyAlignment="1">
      <alignment horizontal="left" vertical="center"/>
    </xf>
    <xf numFmtId="0" fontId="43" fillId="0" borderId="0" xfId="0" applyFont="1"/>
    <xf numFmtId="172" fontId="30" fillId="0" borderId="6" xfId="0" applyNumberFormat="1" applyFont="1" applyBorder="1" applyAlignment="1">
      <alignment horizontal="right" vertical="center"/>
    </xf>
    <xf numFmtId="0" fontId="1" fillId="0" borderId="0" xfId="0" applyFont="1" applyAlignment="1">
      <alignment vertical="center"/>
    </xf>
    <xf numFmtId="165" fontId="13" fillId="0" borderId="0" xfId="8" applyNumberFormat="1" applyFont="1" applyFill="1" applyAlignment="1">
      <alignment horizontal="right" vertical="center"/>
    </xf>
    <xf numFmtId="167" fontId="59" fillId="0" borderId="7" xfId="0" applyNumberFormat="1" applyFont="1" applyBorder="1" applyAlignment="1">
      <alignment horizontal="right" vertical="center"/>
    </xf>
    <xf numFmtId="167" fontId="59" fillId="0" borderId="6" xfId="0" applyNumberFormat="1" applyFont="1" applyBorder="1" applyAlignment="1">
      <alignment vertical="center"/>
    </xf>
    <xf numFmtId="168" fontId="22" fillId="0" borderId="7" xfId="0" applyNumberFormat="1" applyFont="1" applyBorder="1" applyAlignment="1">
      <alignment horizontal="right" vertical="center"/>
    </xf>
    <xf numFmtId="168" fontId="30" fillId="0" borderId="6" xfId="0" applyNumberFormat="1" applyFont="1" applyBorder="1" applyAlignment="1">
      <alignment horizontal="right" vertical="center"/>
    </xf>
    <xf numFmtId="0" fontId="20" fillId="0" borderId="0" xfId="0" applyFont="1" applyAlignment="1">
      <alignment horizontal="left" vertical="center" indent="1"/>
    </xf>
    <xf numFmtId="0" fontId="20" fillId="0" borderId="0" xfId="0" applyFont="1" applyAlignment="1">
      <alignment horizontal="left" vertical="center"/>
    </xf>
    <xf numFmtId="169" fontId="13" fillId="0" borderId="0" xfId="0" applyNumberFormat="1" applyFont="1" applyAlignment="1">
      <alignment horizontal="right" vertical="center"/>
    </xf>
    <xf numFmtId="182" fontId="30" fillId="0" borderId="6" xfId="0" applyNumberFormat="1" applyFont="1" applyBorder="1" applyAlignment="1">
      <alignment horizontal="right" vertical="center"/>
    </xf>
    <xf numFmtId="182" fontId="22" fillId="0" borderId="7" xfId="0" applyNumberFormat="1" applyFont="1" applyBorder="1" applyAlignment="1">
      <alignment horizontal="right" vertical="center"/>
    </xf>
    <xf numFmtId="182" fontId="22" fillId="0" borderId="6" xfId="0" applyNumberFormat="1" applyFont="1" applyBorder="1" applyAlignment="1">
      <alignment horizontal="right" vertical="center"/>
    </xf>
    <xf numFmtId="182" fontId="22" fillId="0" borderId="12" xfId="0" applyNumberFormat="1" applyFont="1" applyBorder="1" applyAlignment="1">
      <alignment vertical="center"/>
    </xf>
    <xf numFmtId="167" fontId="22" fillId="0" borderId="12" xfId="0" applyNumberFormat="1" applyFont="1" applyBorder="1" applyAlignment="1">
      <alignment horizontal="right" vertical="center"/>
    </xf>
    <xf numFmtId="9" fontId="12" fillId="0" borderId="0" xfId="8" applyFont="1" applyAlignment="1">
      <alignment horizontal="right" vertical="center"/>
    </xf>
    <xf numFmtId="166" fontId="13" fillId="0" borderId="0" xfId="0" applyNumberFormat="1" applyFont="1" applyAlignment="1">
      <alignment horizontal="right" vertical="center"/>
    </xf>
    <xf numFmtId="0" fontId="21" fillId="0" borderId="14" xfId="0" applyFont="1" applyBorder="1" applyAlignment="1">
      <alignment horizontal="right" vertical="center"/>
    </xf>
    <xf numFmtId="0" fontId="12" fillId="0" borderId="15" xfId="0" applyFont="1" applyBorder="1" applyAlignment="1">
      <alignment horizontal="right" vertical="center"/>
    </xf>
    <xf numFmtId="167" fontId="24" fillId="0" borderId="16" xfId="0" applyNumberFormat="1" applyFont="1" applyBorder="1" applyAlignment="1">
      <alignment horizontal="right" vertical="center"/>
    </xf>
    <xf numFmtId="167" fontId="14" fillId="0" borderId="16" xfId="0" applyNumberFormat="1" applyFont="1" applyBorder="1" applyAlignment="1">
      <alignment horizontal="right" vertical="center"/>
    </xf>
    <xf numFmtId="167" fontId="30" fillId="0" borderId="16" xfId="0" applyNumberFormat="1" applyFont="1" applyBorder="1" applyAlignment="1">
      <alignment horizontal="right" vertical="center"/>
    </xf>
    <xf numFmtId="167" fontId="21" fillId="0" borderId="13" xfId="0" applyNumberFormat="1" applyFont="1" applyBorder="1" applyAlignment="1">
      <alignment horizontal="right" vertical="center"/>
    </xf>
    <xf numFmtId="167" fontId="62" fillId="0" borderId="15" xfId="0" applyNumberFormat="1" applyFont="1" applyBorder="1" applyAlignment="1">
      <alignment horizontal="right" vertical="center"/>
    </xf>
    <xf numFmtId="0" fontId="17" fillId="0" borderId="0" xfId="0" applyFont="1" applyAlignment="1">
      <alignment horizontal="left" vertical="center"/>
    </xf>
    <xf numFmtId="0" fontId="61" fillId="0" borderId="1" xfId="0" applyFont="1" applyBorder="1" applyAlignment="1">
      <alignment horizontal="left" vertical="center"/>
    </xf>
    <xf numFmtId="0" fontId="21" fillId="0" borderId="0" xfId="0" applyFont="1" applyAlignment="1">
      <alignment horizontal="left" vertical="center"/>
    </xf>
    <xf numFmtId="0" fontId="29" fillId="0" borderId="0" xfId="0" applyFont="1" applyAlignment="1">
      <alignment horizontal="left" vertical="center"/>
    </xf>
    <xf numFmtId="0" fontId="63" fillId="0" borderId="0" xfId="0" applyFont="1" applyAlignment="1">
      <alignment horizontal="left" vertical="center"/>
    </xf>
    <xf numFmtId="0" fontId="62" fillId="0" borderId="0" xfId="0" applyFont="1" applyAlignment="1">
      <alignment vertical="center"/>
    </xf>
    <xf numFmtId="167" fontId="62" fillId="0" borderId="0" xfId="0" applyNumberFormat="1" applyFont="1" applyAlignment="1">
      <alignment horizontal="right" vertical="center"/>
    </xf>
    <xf numFmtId="0" fontId="62" fillId="0" borderId="0" xfId="0" applyFont="1" applyAlignment="1">
      <alignment horizontal="left" vertical="center"/>
    </xf>
    <xf numFmtId="0" fontId="12" fillId="0" borderId="0" xfId="0" applyFont="1" applyAlignment="1">
      <alignment horizontal="left" vertical="center" indent="3"/>
    </xf>
    <xf numFmtId="167" fontId="24" fillId="0" borderId="0" xfId="0" applyNumberFormat="1" applyFont="1" applyAlignment="1">
      <alignment horizontal="right" vertical="center"/>
    </xf>
    <xf numFmtId="167" fontId="24" fillId="0" borderId="15" xfId="0" applyNumberFormat="1" applyFont="1" applyBorder="1" applyAlignment="1">
      <alignment horizontal="right" vertical="center"/>
    </xf>
    <xf numFmtId="0" fontId="13" fillId="0" borderId="15" xfId="0" applyFont="1" applyBorder="1" applyAlignment="1">
      <alignment horizontal="right" vertical="center"/>
    </xf>
    <xf numFmtId="167" fontId="59" fillId="0" borderId="16" xfId="0" applyNumberFormat="1" applyFont="1" applyBorder="1" applyAlignment="1">
      <alignment horizontal="right" vertical="center"/>
    </xf>
    <xf numFmtId="168" fontId="24" fillId="0" borderId="6" xfId="0" applyNumberFormat="1" applyFont="1" applyBorder="1" applyAlignment="1">
      <alignment horizontal="right" vertical="center"/>
    </xf>
    <xf numFmtId="0" fontId="21" fillId="0" borderId="18" xfId="0" applyFont="1" applyBorder="1" applyAlignment="1">
      <alignment horizontal="right" vertical="center"/>
    </xf>
    <xf numFmtId="0" fontId="13" fillId="0" borderId="19" xfId="0" applyFont="1" applyBorder="1" applyAlignment="1">
      <alignment horizontal="right" vertical="center"/>
    </xf>
    <xf numFmtId="0" fontId="13" fillId="0" borderId="19" xfId="0" applyFont="1" applyBorder="1" applyAlignment="1">
      <alignment vertical="center"/>
    </xf>
    <xf numFmtId="167" fontId="13" fillId="0" borderId="19" xfId="0" applyNumberFormat="1" applyFont="1" applyBorder="1" applyAlignment="1">
      <alignment horizontal="right" vertical="center"/>
    </xf>
    <xf numFmtId="167" fontId="30" fillId="0" borderId="20" xfId="0" applyNumberFormat="1" applyFont="1" applyBorder="1" applyAlignment="1">
      <alignment horizontal="right" vertical="center"/>
    </xf>
    <xf numFmtId="0" fontId="30" fillId="0" borderId="19" xfId="0" applyFont="1" applyBorder="1" applyAlignment="1">
      <alignment horizontal="right" vertical="center"/>
    </xf>
    <xf numFmtId="167" fontId="24" fillId="0" borderId="20" xfId="0" applyNumberFormat="1" applyFont="1" applyBorder="1" applyAlignment="1">
      <alignment horizontal="right" vertical="center"/>
    </xf>
    <xf numFmtId="0" fontId="1" fillId="0" borderId="7" xfId="0" applyFont="1" applyBorder="1" applyAlignment="1">
      <alignment vertical="center"/>
    </xf>
    <xf numFmtId="0" fontId="1" fillId="0" borderId="6" xfId="0" applyFont="1" applyBorder="1" applyAlignment="1">
      <alignment horizontal="left" vertical="center"/>
    </xf>
    <xf numFmtId="0" fontId="1" fillId="0" borderId="8"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vertical="center"/>
    </xf>
    <xf numFmtId="0" fontId="44" fillId="0" borderId="0" xfId="7" applyFont="1" applyAlignment="1">
      <alignment horizontal="left" vertical="center" indent="1"/>
    </xf>
    <xf numFmtId="0" fontId="2" fillId="0" borderId="0" xfId="0" applyFont="1" applyAlignment="1">
      <alignment horizontal="left" vertical="center" wrapText="1"/>
    </xf>
    <xf numFmtId="167" fontId="30" fillId="3" borderId="7" xfId="0" applyNumberFormat="1" applyFont="1" applyFill="1" applyBorder="1" applyAlignment="1">
      <alignment horizontal="right" vertical="center"/>
    </xf>
    <xf numFmtId="0" fontId="13" fillId="0" borderId="0" xfId="0" applyFont="1" applyAlignment="1">
      <alignment vertical="center" wrapText="1"/>
    </xf>
    <xf numFmtId="0" fontId="68" fillId="0" borderId="0" xfId="0" applyFont="1" applyAlignment="1">
      <alignment horizontal="left" vertical="center"/>
    </xf>
    <xf numFmtId="167" fontId="68" fillId="0" borderId="6" xfId="0" applyNumberFormat="1" applyFont="1" applyBorder="1" applyAlignment="1">
      <alignment horizontal="right" vertical="center"/>
    </xf>
    <xf numFmtId="167" fontId="68" fillId="0" borderId="7" xfId="0" applyNumberFormat="1" applyFont="1" applyBorder="1" applyAlignment="1">
      <alignment horizontal="right" vertical="center"/>
    </xf>
    <xf numFmtId="167" fontId="69" fillId="2" borderId="4" xfId="0" applyNumberFormat="1" applyFont="1" applyFill="1" applyBorder="1" applyAlignment="1">
      <alignment horizontal="right" vertical="center"/>
    </xf>
    <xf numFmtId="49" fontId="2" fillId="0" borderId="0" xfId="0" applyNumberFormat="1" applyFont="1" applyAlignment="1">
      <alignment horizontal="left" vertical="center" wrapText="1"/>
    </xf>
    <xf numFmtId="0" fontId="10" fillId="0" borderId="6" xfId="0" applyFont="1" applyBorder="1" applyAlignment="1">
      <alignment horizontal="left" vertical="center"/>
    </xf>
    <xf numFmtId="167" fontId="13" fillId="0" borderId="6" xfId="0" applyNumberFormat="1" applyFont="1" applyBorder="1" applyAlignment="1">
      <alignment horizontal="right" vertical="center"/>
    </xf>
    <xf numFmtId="167" fontId="70" fillId="0" borderId="7" xfId="0" applyNumberFormat="1" applyFont="1" applyBorder="1" applyAlignment="1">
      <alignment horizontal="right" vertical="center"/>
    </xf>
    <xf numFmtId="167" fontId="70" fillId="3" borderId="7" xfId="0" applyNumberFormat="1" applyFont="1" applyFill="1" applyBorder="1" applyAlignment="1">
      <alignment horizontal="right" vertical="center"/>
    </xf>
    <xf numFmtId="167" fontId="71" fillId="0" borderId="7" xfId="0" applyNumberFormat="1" applyFont="1" applyBorder="1" applyAlignment="1">
      <alignment horizontal="right" vertical="center"/>
    </xf>
    <xf numFmtId="0" fontId="13" fillId="0" borderId="9" xfId="0" applyFont="1" applyBorder="1" applyAlignment="1">
      <alignment horizontal="left" vertical="center"/>
    </xf>
    <xf numFmtId="9" fontId="30" fillId="0" borderId="9" xfId="8" applyFont="1" applyFill="1" applyBorder="1" applyAlignment="1">
      <alignment horizontal="right" vertical="center"/>
    </xf>
    <xf numFmtId="167" fontId="30" fillId="0" borderId="6" xfId="0" quotePrefix="1" applyNumberFormat="1" applyFont="1" applyBorder="1" applyAlignment="1">
      <alignment horizontal="right" vertical="center"/>
    </xf>
    <xf numFmtId="167" fontId="25" fillId="0" borderId="17" xfId="0" applyNumberFormat="1" applyFont="1" applyBorder="1" applyAlignment="1">
      <alignment horizontal="right" vertical="center"/>
    </xf>
    <xf numFmtId="0" fontId="23" fillId="0" borderId="11" xfId="0" applyFont="1" applyBorder="1" applyAlignment="1">
      <alignment vertical="center"/>
    </xf>
    <xf numFmtId="166" fontId="23" fillId="0" borderId="11" xfId="0" applyNumberFormat="1" applyFont="1" applyBorder="1" applyAlignment="1">
      <alignment vertical="center"/>
    </xf>
    <xf numFmtId="167" fontId="23" fillId="0" borderId="11" xfId="0" applyNumberFormat="1" applyFont="1" applyBorder="1" applyAlignment="1">
      <alignment horizontal="right" vertical="center"/>
    </xf>
    <xf numFmtId="167" fontId="21" fillId="2" borderId="21" xfId="0" applyNumberFormat="1" applyFont="1" applyFill="1" applyBorder="1" applyAlignment="1">
      <alignment horizontal="right" vertical="center"/>
    </xf>
    <xf numFmtId="167" fontId="30" fillId="0" borderId="22" xfId="0" applyNumberFormat="1" applyFont="1" applyBorder="1" applyAlignment="1">
      <alignment horizontal="right" vertical="center"/>
    </xf>
    <xf numFmtId="167" fontId="21" fillId="2" borderId="23" xfId="0" applyNumberFormat="1" applyFont="1" applyFill="1" applyBorder="1" applyAlignment="1">
      <alignment horizontal="right" vertical="center"/>
    </xf>
    <xf numFmtId="49" fontId="2" fillId="0" borderId="0" xfId="0" applyNumberFormat="1" applyFont="1" applyAlignment="1">
      <alignment horizontal="left" vertical="center" wrapText="1"/>
    </xf>
    <xf numFmtId="49" fontId="1" fillId="0" borderId="0" xfId="0" applyNumberFormat="1" applyFont="1" applyAlignment="1">
      <alignment horizontal="left" vertical="center" wrapText="1"/>
    </xf>
    <xf numFmtId="0" fontId="29" fillId="0" borderId="0" xfId="0" applyFont="1" applyAlignment="1">
      <alignment horizontal="left" vertical="center" wrapText="1"/>
    </xf>
  </cellXfs>
  <cellStyles count="104">
    <cellStyle name="(NEG)  0=&quot;-&quot;" xfId="11" xr:uid="{00000000-0005-0000-0000-000000000000}"/>
    <cellStyle name="_Column1" xfId="12" xr:uid="{00000000-0005-0000-0000-000001000000}"/>
    <cellStyle name="_Column1_altri debiti" xfId="13" xr:uid="{00000000-0005-0000-0000-000002000000}"/>
    <cellStyle name="_Column1_Sheet1" xfId="14" xr:uid="{00000000-0005-0000-0000-000003000000}"/>
    <cellStyle name="_Column2" xfId="15" xr:uid="{00000000-0005-0000-0000-000004000000}"/>
    <cellStyle name="_Column2_altri debiti" xfId="16" xr:uid="{00000000-0005-0000-0000-000005000000}"/>
    <cellStyle name="_Column2_Sheet1" xfId="17" xr:uid="{00000000-0005-0000-0000-000006000000}"/>
    <cellStyle name="_Column3" xfId="18" xr:uid="{00000000-0005-0000-0000-000007000000}"/>
    <cellStyle name="_Column3_altri debiti" xfId="19" xr:uid="{00000000-0005-0000-0000-000008000000}"/>
    <cellStyle name="_Column3_Sheet1" xfId="20" xr:uid="{00000000-0005-0000-0000-000009000000}"/>
    <cellStyle name="_Column4" xfId="21" xr:uid="{00000000-0005-0000-0000-00000A000000}"/>
    <cellStyle name="_Column4_altri debiti" xfId="22" xr:uid="{00000000-0005-0000-0000-00000B000000}"/>
    <cellStyle name="_Column4_Sheet1" xfId="23" xr:uid="{00000000-0005-0000-0000-00000C000000}"/>
    <cellStyle name="_Column5" xfId="24" xr:uid="{00000000-0005-0000-0000-00000D000000}"/>
    <cellStyle name="_Column5_altri debiti" xfId="25" xr:uid="{00000000-0005-0000-0000-00000E000000}"/>
    <cellStyle name="_Column5_Sheet1" xfId="26" xr:uid="{00000000-0005-0000-0000-00000F000000}"/>
    <cellStyle name="_Column6" xfId="27" xr:uid="{00000000-0005-0000-0000-000010000000}"/>
    <cellStyle name="_Column6_altri debiti" xfId="28" xr:uid="{00000000-0005-0000-0000-000011000000}"/>
    <cellStyle name="_Column6_Sheet1" xfId="29" xr:uid="{00000000-0005-0000-0000-000012000000}"/>
    <cellStyle name="_Column7" xfId="30" xr:uid="{00000000-0005-0000-0000-000013000000}"/>
    <cellStyle name="_Column7_altri debiti" xfId="31" xr:uid="{00000000-0005-0000-0000-000014000000}"/>
    <cellStyle name="_Column7_Sheet1" xfId="32" xr:uid="{00000000-0005-0000-0000-000015000000}"/>
    <cellStyle name="_Data" xfId="33" xr:uid="{00000000-0005-0000-0000-000016000000}"/>
    <cellStyle name="_Data_altri debiti" xfId="34" xr:uid="{00000000-0005-0000-0000-000017000000}"/>
    <cellStyle name="_Data_Sheet1" xfId="35" xr:uid="{00000000-0005-0000-0000-000018000000}"/>
    <cellStyle name="_Header" xfId="36" xr:uid="{00000000-0005-0000-0000-000019000000}"/>
    <cellStyle name="_Header_altri debiti" xfId="37" xr:uid="{00000000-0005-0000-0000-00001A000000}"/>
    <cellStyle name="_Header_Sheet1" xfId="38" xr:uid="{00000000-0005-0000-0000-00001B000000}"/>
    <cellStyle name="_Row1" xfId="39" xr:uid="{00000000-0005-0000-0000-00001C000000}"/>
    <cellStyle name="_Row1_altri debiti" xfId="40" xr:uid="{00000000-0005-0000-0000-00001D000000}"/>
    <cellStyle name="_Row1_S.P." xfId="41" xr:uid="{00000000-0005-0000-0000-00001E000000}"/>
    <cellStyle name="_Row1_Sheet1" xfId="42" xr:uid="{00000000-0005-0000-0000-00001F000000}"/>
    <cellStyle name="_Row2" xfId="43" xr:uid="{00000000-0005-0000-0000-000020000000}"/>
    <cellStyle name="_Row2_altri debiti" xfId="44" xr:uid="{00000000-0005-0000-0000-000021000000}"/>
    <cellStyle name="_Row2_Sheet1" xfId="45" xr:uid="{00000000-0005-0000-0000-000022000000}"/>
    <cellStyle name="_Row3" xfId="46" xr:uid="{00000000-0005-0000-0000-000023000000}"/>
    <cellStyle name="_Row3_altri debiti" xfId="47" xr:uid="{00000000-0005-0000-0000-000024000000}"/>
    <cellStyle name="_Row3_Sheet1" xfId="48" xr:uid="{00000000-0005-0000-0000-000025000000}"/>
    <cellStyle name="_Row4" xfId="49" xr:uid="{00000000-0005-0000-0000-000026000000}"/>
    <cellStyle name="_Row4_altri debiti" xfId="50" xr:uid="{00000000-0005-0000-0000-000027000000}"/>
    <cellStyle name="_Row4_Sheet1" xfId="51" xr:uid="{00000000-0005-0000-0000-000028000000}"/>
    <cellStyle name="_Row5" xfId="52" xr:uid="{00000000-0005-0000-0000-000029000000}"/>
    <cellStyle name="_Row5_altri debiti" xfId="53" xr:uid="{00000000-0005-0000-0000-00002A000000}"/>
    <cellStyle name="_Row5_Sheet1" xfId="54" xr:uid="{00000000-0005-0000-0000-00002B000000}"/>
    <cellStyle name="_Row6" xfId="55" xr:uid="{00000000-0005-0000-0000-00002C000000}"/>
    <cellStyle name="_Row6_altri debiti" xfId="56" xr:uid="{00000000-0005-0000-0000-00002D000000}"/>
    <cellStyle name="_Row6_Sheet1" xfId="57" xr:uid="{00000000-0005-0000-0000-00002E000000}"/>
    <cellStyle name="_Row7" xfId="58" xr:uid="{00000000-0005-0000-0000-00002F000000}"/>
    <cellStyle name="_Row7_altri debiti" xfId="59" xr:uid="{00000000-0005-0000-0000-000030000000}"/>
    <cellStyle name="_Row7_Sheet1" xfId="60" xr:uid="{00000000-0005-0000-0000-000031000000}"/>
    <cellStyle name="£ BP" xfId="61" xr:uid="{00000000-0005-0000-0000-000032000000}"/>
    <cellStyle name="¥ JY" xfId="62" xr:uid="{00000000-0005-0000-0000-000033000000}"/>
    <cellStyle name="Bold/Border" xfId="63" xr:uid="{00000000-0005-0000-0000-000034000000}"/>
    <cellStyle name="Bullet" xfId="64" xr:uid="{00000000-0005-0000-0000-000035000000}"/>
    <cellStyle name="Comma" xfId="10" builtinId="3"/>
    <cellStyle name="Comma 12" xfId="90" xr:uid="{31E9ACC6-1054-4FF7-8A49-A407FEF7F8ED}"/>
    <cellStyle name="Comma 12 2" xfId="100" xr:uid="{58446478-8718-4504-ADD2-1BBE2B0EA3DC}"/>
    <cellStyle name="Comma 2" xfId="78" xr:uid="{00000000-0005-0000-0000-000037000000}"/>
    <cellStyle name="Comma 2 2" xfId="84" xr:uid="{406A3D38-532C-4380-A28A-F7FA95778198}"/>
    <cellStyle name="Comma 3" xfId="75" xr:uid="{00000000-0005-0000-0000-000038000000}"/>
    <cellStyle name="Comma 3 2" xfId="92" xr:uid="{E1A127C3-B501-42BF-A988-B10B28700F86}"/>
    <cellStyle name="Comma 3 2 2" xfId="102" xr:uid="{5A17DB99-B62B-4C66-ACE0-1B751D59191F}"/>
    <cellStyle name="Comma 3 3" xfId="86" xr:uid="{0523F783-1EA6-47A9-B085-146AA73F5117}"/>
    <cellStyle name="Comma 4" xfId="87" xr:uid="{A1438EF2-730C-4286-9BE2-5460DA6120CE}"/>
    <cellStyle name="Comma 4 2" xfId="93" xr:uid="{2BFDED2F-E629-40AC-9A5D-48F536F50353}"/>
    <cellStyle name="Comma 4 2 2" xfId="103" xr:uid="{16451776-F3BB-4B7B-964B-E57BD0BC0385}"/>
    <cellStyle name="Comma 5" xfId="91" xr:uid="{80699732-C53A-422B-B61B-EC0D34545003}"/>
    <cellStyle name="Comma 5 2" xfId="101" xr:uid="{5EB2AB60-D6BF-4B4C-B70D-3C1980AFB5F5}"/>
    <cellStyle name="Comma 6" xfId="82" xr:uid="{59104AB7-3402-4B0B-822D-10B7F4F40DB6}"/>
    <cellStyle name="Dash" xfId="65" xr:uid="{00000000-0005-0000-0000-000039000000}"/>
    <cellStyle name="Hyperlink" xfId="7" builtinId="8"/>
    <cellStyle name="Input 2" xfId="66" xr:uid="{00000000-0005-0000-0000-00003B000000}"/>
    <cellStyle name="Migliaia (0)_Anal.Vend.Inc.Cialdini" xfId="67" xr:uid="{00000000-0005-0000-0000-00003C000000}"/>
    <cellStyle name="Migliaia_Anal.Vend.Inc.Cialdini" xfId="68" xr:uid="{00000000-0005-0000-0000-00003D000000}"/>
    <cellStyle name="Normal" xfId="0" builtinId="0"/>
    <cellStyle name="Normal 10" xfId="81" xr:uid="{8A5FCB44-3BDA-4488-A513-56C23D8CBD0A}"/>
    <cellStyle name="Normal 11" xfId="83" xr:uid="{98512AAB-C7B9-4282-B8D7-EE899CAFB9A7}"/>
    <cellStyle name="Normal 14 5" xfId="96" xr:uid="{2F9B6F0C-4CFC-453C-9900-4281FE0007D6}"/>
    <cellStyle name="Normal 2" xfId="1" xr:uid="{00000000-0005-0000-0000-00003F000000}"/>
    <cellStyle name="Normal 2 2" xfId="3" xr:uid="{00000000-0005-0000-0000-000040000000}"/>
    <cellStyle name="Normal 2 2 2" xfId="94" xr:uid="{617DDA91-B34C-4858-93E8-E56860F62F6B}"/>
    <cellStyle name="Normal 2 2 3" xfId="89" xr:uid="{1E42AFDD-C8D5-4246-898A-2AA4D736F04B}"/>
    <cellStyle name="Normal 2 3" xfId="85" xr:uid="{869C77D7-87A3-4A83-94E6-E97AB351DDF5}"/>
    <cellStyle name="Normal 3" xfId="2" xr:uid="{00000000-0005-0000-0000-000041000000}"/>
    <cellStyle name="Normal 3 2" xfId="74" xr:uid="{00000000-0005-0000-0000-000042000000}"/>
    <cellStyle name="Normal 4" xfId="6" xr:uid="{00000000-0005-0000-0000-000043000000}"/>
    <cellStyle name="Normal 4 2" xfId="76" xr:uid="{00000000-0005-0000-0000-000044000000}"/>
    <cellStyle name="Normal 4 2 2" xfId="77" xr:uid="{00000000-0005-0000-0000-000045000000}"/>
    <cellStyle name="Normal 4 3" xfId="79" xr:uid="{00000000-0005-0000-0000-000046000000}"/>
    <cellStyle name="Normal 5" xfId="5" xr:uid="{00000000-0005-0000-0000-000047000000}"/>
    <cellStyle name="Normal 5 2" xfId="88" xr:uid="{21D69CB9-8666-494D-8E21-A2238AE636EA}"/>
    <cellStyle name="Normal 6" xfId="4" xr:uid="{00000000-0005-0000-0000-000048000000}"/>
    <cellStyle name="Normal 6 2" xfId="95" xr:uid="{6C04C9A2-21E8-4395-8293-661D84436AFE}"/>
    <cellStyle name="Normal 7" xfId="9" xr:uid="{00000000-0005-0000-0000-000049000000}"/>
    <cellStyle name="Normal 7 2" xfId="97" xr:uid="{E4D31B67-5617-4FD9-AE21-CDC773C160C6}"/>
    <cellStyle name="Normal 8" xfId="98" xr:uid="{DB4C0C4A-D50C-4FA9-AE03-7B0395A8E1D5}"/>
    <cellStyle name="Normal 9" xfId="99" xr:uid="{42999BE4-2D35-47BB-A648-0C86E4BD6A93}"/>
    <cellStyle name="Normal 94" xfId="80" xr:uid="{34800EDF-0916-4202-9F43-9E4C45656FA3}"/>
    <cellStyle name="Normale_31-03 30-06" xfId="69" xr:uid="{00000000-0005-0000-0000-00004A000000}"/>
    <cellStyle name="Percent" xfId="8" builtinId="5"/>
    <cellStyle name="Percentuale_cf-cv 9" xfId="70" xr:uid="{00000000-0005-0000-0000-00004C000000}"/>
    <cellStyle name="Standard_Liste" xfId="71" xr:uid="{00000000-0005-0000-0000-00004D000000}"/>
    <cellStyle name="Valuta (0)_Anal.Vend.Inc.Cialdini" xfId="72" xr:uid="{00000000-0005-0000-0000-00004E000000}"/>
    <cellStyle name="Valuta_Anal.Vend.Inc.Cialdini" xfId="73" xr:uid="{00000000-0005-0000-0000-00004F000000}"/>
  </cellStyles>
  <dxfs count="0"/>
  <tableStyles count="0" defaultTableStyle="TableStyleMedium2" defaultPivotStyle="PivotStyleLight16"/>
  <colors>
    <mruColors>
      <color rgb="FFFFDD00"/>
      <color rgb="FFFFFFCC"/>
      <color rgb="FFDDDDDD"/>
      <color rgb="FFE225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0</xdr:row>
      <xdr:rowOff>85725</xdr:rowOff>
    </xdr:from>
    <xdr:to>
      <xdr:col>10</xdr:col>
      <xdr:colOff>521500</xdr:colOff>
      <xdr:row>9</xdr:row>
      <xdr:rowOff>163093</xdr:rowOff>
    </xdr:to>
    <xdr:pic>
      <xdr:nvPicPr>
        <xdr:cNvPr id="3" name="irc_mi" descr="Risultati immagini per pirelli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85725"/>
          <a:ext cx="6300000" cy="16489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IRDatabook/Shared%20Documents/Databook/2026/FY%202025/FY%202025%20Actual/01.%20Controlling_databook.xlsb" TargetMode="External"/><Relationship Id="rId2" Type="http://schemas.openxmlformats.org/officeDocument/2006/relationships/externalLinkPath" Target="https://pirelli.sharepoint.com/sites/IRDatabook/Shared%20Documents/Databook/2026/FY%202025/FY%202025%20Actual/01.%20Controlling_databook.xlsb" TargetMode="External"/><Relationship Id="rId1" Type="http://schemas.openxmlformats.org/officeDocument/2006/relationships/externalLinkPath" Target="/sites/IRDatabook/Shared%20Documents/Databook/2026/FY%202025/FY%202025%20Actual/01.%20Controlling_databook.xlsb"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IRDatabook/Shared%20Documents/Databook/2026/FY%202025/FY%202025%20Actual/06.Revenue%20Drivers%20Tot.xlsx" TargetMode="External"/><Relationship Id="rId2" Type="http://schemas.openxmlformats.org/officeDocument/2006/relationships/externalLinkPath" Target="https://pirelli.sharepoint.com/sites/IRDatabook/Shared%20Documents/Databook/2026/FY%202025/FY%202025%20Actual/06.Revenue%20Drivers%20Tot.xlsx" TargetMode="External"/><Relationship Id="rId1" Type="http://schemas.openxmlformats.org/officeDocument/2006/relationships/externalLinkPath" Target="/sites/IRDatabook/Shared%20Documents/Databook/2026/FY%202025/FY%202025%20Actual/06.Revenue%20Drivers%20Tot.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IRDatabook/Shared%20Documents/Databook/2026/FY%202025/FY%202025%20Actual/08.Ebit%20Bridge%20.xlsx" TargetMode="External"/><Relationship Id="rId2" Type="http://schemas.openxmlformats.org/officeDocument/2006/relationships/externalLinkPath" Target="https://pirelli.sharepoint.com/sites/IRDatabook/Shared%20Documents/Databook/2026/FY%202025/FY%202025%20Actual/08.Ebit%20Bridge%20.xlsx" TargetMode="External"/><Relationship Id="rId1" Type="http://schemas.openxmlformats.org/officeDocument/2006/relationships/externalLinkPath" Target="/sites/IRDatabook/Shared%20Documents/Databook/2026/FY%202025/FY%202025%20Actual/08.Ebit%20Bridge%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Q1"/>
      <sheetName val="Q2"/>
      <sheetName val="H1"/>
      <sheetName val="Q3"/>
      <sheetName val="9M"/>
      <sheetName val="Q4"/>
      <sheetName val="FY"/>
    </sheetNames>
    <sheetDataSet>
      <sheetData sheetId="0" refreshError="1"/>
      <sheetData sheetId="1" refreshError="1"/>
      <sheetData sheetId="2" refreshError="1"/>
      <sheetData sheetId="3" refreshError="1"/>
      <sheetData sheetId="4" refreshError="1"/>
      <sheetData sheetId="5" refreshError="1"/>
      <sheetData sheetId="6">
        <row r="29">
          <cell r="Q29">
            <v>6776.1559290915802</v>
          </cell>
        </row>
        <row r="35">
          <cell r="Q35">
            <v>1548.2792637944899</v>
          </cell>
        </row>
        <row r="41">
          <cell r="Q41">
            <v>1081.3806527944701</v>
          </cell>
        </row>
        <row r="46">
          <cell r="Q46">
            <v>-106.71277000000001</v>
          </cell>
        </row>
        <row r="47">
          <cell r="Q47">
            <v>-83.4680094389565</v>
          </cell>
        </row>
        <row r="53">
          <cell r="Q53">
            <v>52.707732737007106</v>
          </cell>
        </row>
        <row r="54">
          <cell r="Q54">
            <v>-183.74413514458416</v>
          </cell>
        </row>
        <row r="59">
          <cell r="Q59">
            <v>-229.46592586071301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venues Drivers vs PY"/>
    </sheetNames>
    <sheetDataSet>
      <sheetData sheetId="0">
        <row r="13">
          <cell r="P13">
            <v>2.4495435809120746E-2</v>
          </cell>
          <cell r="AF13">
            <v>4.0828235242442567E-3</v>
          </cell>
        </row>
        <row r="19">
          <cell r="P19">
            <v>3.6896534619063712E-2</v>
          </cell>
          <cell r="AF19">
            <v>3.8499015514974144E-2</v>
          </cell>
        </row>
        <row r="40">
          <cell r="P40">
            <v>-5.3106649600113791E-2</v>
          </cell>
          <cell r="AF40">
            <v>-3.8095411259942535E-2</v>
          </cell>
        </row>
        <row r="42">
          <cell r="P42">
            <v>-1.3210297742521368E-2</v>
          </cell>
          <cell r="AF42">
            <v>-4.0713076887685462E-3</v>
          </cell>
        </row>
        <row r="50">
          <cell r="AF50">
            <v>5329.6690922276339</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Ebit Bridge vs Actual"/>
    </sheetNames>
    <sheetDataSet>
      <sheetData sheetId="0">
        <row r="14">
          <cell r="K14">
            <v>0.4</v>
          </cell>
        </row>
        <row r="36">
          <cell r="K36">
            <v>11.061714408725249</v>
          </cell>
        </row>
        <row r="38">
          <cell r="K38">
            <v>172.66467212806364</v>
          </cell>
        </row>
        <row r="42">
          <cell r="K42">
            <v>-85.262696638354313</v>
          </cell>
        </row>
        <row r="46">
          <cell r="K46">
            <v>-55.856048582611152</v>
          </cell>
        </row>
        <row r="52">
          <cell r="K52">
            <v>-26.083389329940871</v>
          </cell>
        </row>
        <row r="56">
          <cell r="K56">
            <v>153</v>
          </cell>
        </row>
        <row r="57">
          <cell r="K57">
            <v>-120.5</v>
          </cell>
        </row>
        <row r="58">
          <cell r="K58">
            <v>5</v>
          </cell>
        </row>
        <row r="60">
          <cell r="K60">
            <v>-46.5</v>
          </cell>
        </row>
        <row r="68">
          <cell r="K68">
            <v>13.371805190063071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DD00"/>
    <pageSetUpPr fitToPage="1"/>
  </sheetPr>
  <dimension ref="B4:O46"/>
  <sheetViews>
    <sheetView showGridLines="0" tabSelected="1" view="pageBreakPreview" zoomScaleNormal="85" zoomScaleSheetLayoutView="100" workbookViewId="0"/>
  </sheetViews>
  <sheetFormatPr defaultColWidth="9" defaultRowHeight="12.5" outlineLevelRow="1"/>
  <cols>
    <col min="1" max="1" width="4.58203125" style="148" customWidth="1"/>
    <col min="2" max="11" width="8.58203125" style="148" customWidth="1"/>
    <col min="12" max="12" width="4.58203125" style="148" customWidth="1"/>
    <col min="13" max="13" width="8.58203125" style="148" customWidth="1"/>
    <col min="14" max="16384" width="9" style="148"/>
  </cols>
  <sheetData>
    <row r="4" spans="2:15" ht="14">
      <c r="O4" s="150"/>
    </row>
    <row r="5" spans="2:15" ht="14">
      <c r="O5" s="150"/>
    </row>
    <row r="6" spans="2:15" ht="14">
      <c r="O6" s="150"/>
    </row>
    <row r="7" spans="2:15" ht="14">
      <c r="O7" s="150"/>
    </row>
    <row r="8" spans="2:15" ht="14">
      <c r="O8" s="150"/>
    </row>
    <row r="9" spans="2:15" ht="14">
      <c r="O9" s="150"/>
    </row>
    <row r="10" spans="2:15" ht="14">
      <c r="O10" s="150"/>
    </row>
    <row r="11" spans="2:15" ht="14">
      <c r="O11" s="150"/>
    </row>
    <row r="12" spans="2:15" ht="14">
      <c r="O12" s="150"/>
    </row>
    <row r="13" spans="2:15" ht="25">
      <c r="B13" s="1" t="s">
        <v>353</v>
      </c>
      <c r="N13" s="150"/>
    </row>
    <row r="14" spans="2:15" ht="14">
      <c r="B14" s="152" t="s">
        <v>354</v>
      </c>
      <c r="N14" s="150"/>
    </row>
    <row r="15" spans="2:15" ht="14">
      <c r="N15" s="150"/>
    </row>
    <row r="16" spans="2:15" ht="14">
      <c r="N16" s="150"/>
    </row>
    <row r="17" spans="2:14" ht="14">
      <c r="B17" s="3" t="s">
        <v>120</v>
      </c>
      <c r="C17" s="3"/>
      <c r="D17" s="3"/>
      <c r="E17" s="3"/>
      <c r="N17" s="150"/>
    </row>
    <row r="18" spans="2:14" ht="14">
      <c r="B18" s="201" t="s">
        <v>162</v>
      </c>
      <c r="C18" s="201"/>
      <c r="D18" s="201"/>
      <c r="E18" s="201"/>
      <c r="N18" s="150"/>
    </row>
    <row r="19" spans="2:14" ht="14">
      <c r="B19" s="201" t="s">
        <v>163</v>
      </c>
      <c r="C19" s="201"/>
      <c r="D19" s="201"/>
      <c r="E19" s="201"/>
      <c r="N19" s="150"/>
    </row>
    <row r="20" spans="2:14" ht="14">
      <c r="B20" s="4"/>
      <c r="N20" s="150"/>
    </row>
    <row r="21" spans="2:14" ht="14">
      <c r="B21" s="3" t="s">
        <v>121</v>
      </c>
    </row>
    <row r="22" spans="2:14">
      <c r="B22" s="201" t="s">
        <v>162</v>
      </c>
      <c r="C22" s="201"/>
      <c r="D22" s="201"/>
      <c r="E22" s="201"/>
    </row>
    <row r="23" spans="2:14">
      <c r="B23" s="201" t="s">
        <v>163</v>
      </c>
      <c r="C23" s="201"/>
      <c r="D23" s="201"/>
      <c r="E23" s="201"/>
    </row>
    <row r="24" spans="2:14">
      <c r="B24" s="4"/>
    </row>
    <row r="25" spans="2:14" ht="14">
      <c r="B25" s="3" t="s">
        <v>122</v>
      </c>
    </row>
    <row r="26" spans="2:14">
      <c r="B26" s="201" t="s">
        <v>162</v>
      </c>
      <c r="C26" s="201"/>
      <c r="D26" s="201"/>
      <c r="E26" s="201"/>
    </row>
    <row r="27" spans="2:14">
      <c r="B27" s="201" t="s">
        <v>163</v>
      </c>
      <c r="C27" s="201"/>
      <c r="D27" s="201"/>
      <c r="E27" s="201"/>
    </row>
    <row r="28" spans="2:14">
      <c r="B28" s="4"/>
    </row>
    <row r="29" spans="2:14" ht="14">
      <c r="B29" s="3" t="s">
        <v>123</v>
      </c>
    </row>
    <row r="30" spans="2:14">
      <c r="B30" s="201" t="s">
        <v>162</v>
      </c>
      <c r="C30" s="201"/>
      <c r="D30" s="201"/>
      <c r="E30" s="201"/>
    </row>
    <row r="31" spans="2:14">
      <c r="B31" s="201" t="s">
        <v>163</v>
      </c>
      <c r="C31" s="201"/>
      <c r="D31" s="201"/>
      <c r="E31" s="201"/>
    </row>
    <row r="32" spans="2:14">
      <c r="B32" s="4"/>
    </row>
    <row r="33" spans="2:12" ht="14">
      <c r="B33" s="3" t="s">
        <v>124</v>
      </c>
    </row>
    <row r="34" spans="2:12">
      <c r="B34" s="201" t="s">
        <v>162</v>
      </c>
      <c r="C34" s="201"/>
      <c r="D34" s="201"/>
      <c r="E34" s="201"/>
    </row>
    <row r="35" spans="2:12">
      <c r="B35" s="201" t="s">
        <v>163</v>
      </c>
      <c r="C35" s="201"/>
      <c r="D35" s="201"/>
      <c r="E35" s="201"/>
    </row>
    <row r="37" spans="2:12" ht="14">
      <c r="B37" s="5" t="s">
        <v>125</v>
      </c>
    </row>
    <row r="38" spans="2:12">
      <c r="B38" s="6" t="s">
        <v>126</v>
      </c>
    </row>
    <row r="39" spans="2:12">
      <c r="B39" s="149" t="s">
        <v>127</v>
      </c>
    </row>
    <row r="40" spans="2:12">
      <c r="B40" s="205" t="s">
        <v>128</v>
      </c>
    </row>
    <row r="43" spans="2:12" ht="15.5">
      <c r="B43" s="103" t="s">
        <v>145</v>
      </c>
    </row>
    <row r="44" spans="2:12" ht="25.5" customHeight="1">
      <c r="B44" s="149" t="s">
        <v>349</v>
      </c>
      <c r="C44" s="202"/>
      <c r="D44" s="202"/>
      <c r="E44" s="202"/>
      <c r="F44" s="202"/>
      <c r="G44" s="202"/>
      <c r="H44" s="202"/>
      <c r="I44" s="202"/>
      <c r="J44" s="202"/>
      <c r="K44" s="202"/>
      <c r="L44" s="202"/>
    </row>
    <row r="45" spans="2:12" ht="38.25" hidden="1" customHeight="1" outlineLevel="1">
      <c r="B45" s="226" t="s">
        <v>355</v>
      </c>
      <c r="C45" s="226"/>
      <c r="D45" s="226"/>
      <c r="E45" s="226"/>
      <c r="F45" s="226"/>
      <c r="G45" s="226"/>
      <c r="H45" s="226"/>
      <c r="I45" s="226"/>
      <c r="J45" s="226"/>
      <c r="K45" s="226"/>
      <c r="L45" s="209"/>
    </row>
    <row r="46" spans="2:12" ht="153" customHeight="1" collapsed="1">
      <c r="B46" s="225" t="s">
        <v>278</v>
      </c>
      <c r="C46" s="225"/>
      <c r="D46" s="225"/>
      <c r="E46" s="225"/>
      <c r="F46" s="225"/>
      <c r="G46" s="225"/>
      <c r="H46" s="225"/>
      <c r="I46" s="225"/>
      <c r="J46" s="225"/>
      <c r="K46" s="225"/>
      <c r="L46" s="225"/>
    </row>
  </sheetData>
  <mergeCells count="2">
    <mergeCell ref="B46:L46"/>
    <mergeCell ref="B45:K45"/>
  </mergeCells>
  <hyperlinks>
    <hyperlink ref="B18:E18" location="'Fin. Highlights - FY'!A1" display="Full year figures" xr:uid="{00000000-0004-0000-0000-000000000000}"/>
    <hyperlink ref="B19:E19" location="'Fin. Highlights - interim'!A1" display="Year-to-Date reported figures" xr:uid="{00000000-0004-0000-0000-000001000000}"/>
    <hyperlink ref="B22:E22" location="'Adj. Rev. detail - FY'!A1" display="Full year figures" xr:uid="{00000000-0004-0000-0000-000002000000}"/>
    <hyperlink ref="B23:E23" location="'Adj. Rev. detail - Interim'!A1" display="Year-to-Date reported figures" xr:uid="{00000000-0004-0000-0000-000003000000}"/>
    <hyperlink ref="B26:E26" location="'Adj. EBIT bridge - FY'!A1" display="Full year carve-out figures" xr:uid="{00000000-0004-0000-0000-000004000000}"/>
    <hyperlink ref="B27:E27" location="'Adj. EBIT bridge - Interim'!A1" display="Year-to-Date reported figures" xr:uid="{00000000-0004-0000-0000-000005000000}"/>
    <hyperlink ref="B31" location="'Balance Sheet - Interim'!A1" display="Interim figures" xr:uid="{00000000-0004-0000-0000-000006000000}"/>
    <hyperlink ref="B34" location="'Cash Flow - FY'!A1" display="Full year figures" xr:uid="{00000000-0004-0000-0000-000007000000}"/>
    <hyperlink ref="B35" location="'Cash Flow - Interim'!A1" display="Interim figures" xr:uid="{00000000-0004-0000-0000-000008000000}"/>
    <hyperlink ref="B30:E30" location="'Balance Sheet - FY'!A1" display="Full year figures" xr:uid="{00000000-0004-0000-0000-000009000000}"/>
  </hyperlinks>
  <pageMargins left="0" right="0" top="0" bottom="0" header="0" footer="0"/>
  <pageSetup paperSize="9" scale="96"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M125"/>
  <sheetViews>
    <sheetView showGridLines="0" zoomScale="85" zoomScaleNormal="85" zoomScaleSheetLayoutView="100" workbookViewId="0"/>
  </sheetViews>
  <sheetFormatPr defaultColWidth="9" defaultRowHeight="14" outlineLevelRow="3" outlineLevelCol="1"/>
  <cols>
    <col min="1" max="1" width="104" style="83" bestFit="1" customWidth="1"/>
    <col min="2" max="2" width="2.58203125" style="83" customWidth="1"/>
    <col min="3" max="4" width="11.58203125" style="82" hidden="1" customWidth="1" outlineLevel="1" collapsed="1"/>
    <col min="5" max="5" width="11.58203125" style="82" hidden="1" customWidth="1" outlineLevel="1"/>
    <col min="6" max="6" width="11.58203125" style="82" customWidth="1" collapsed="1"/>
    <col min="7" max="11" width="11.58203125" style="82" customWidth="1"/>
    <col min="12" max="12" width="3.58203125" bestFit="1" customWidth="1"/>
    <col min="13" max="13" width="58.58203125" style="130" bestFit="1" customWidth="1"/>
    <col min="14" max="16384" width="9" style="83"/>
  </cols>
  <sheetData>
    <row r="1" spans="1:13" s="7" customFormat="1" ht="27.75" customHeight="1">
      <c r="A1" s="7" t="s">
        <v>323</v>
      </c>
      <c r="C1" s="8"/>
      <c r="D1" s="8"/>
      <c r="E1" s="8"/>
      <c r="F1" s="8"/>
      <c r="G1" s="8"/>
      <c r="H1" s="8"/>
      <c r="I1" s="8"/>
      <c r="J1" s="8"/>
      <c r="K1" s="8"/>
      <c r="M1" s="175"/>
    </row>
    <row r="2" spans="1:13">
      <c r="A2" s="158" t="s">
        <v>146</v>
      </c>
      <c r="B2" s="159"/>
      <c r="H2" s="83"/>
      <c r="I2" s="2"/>
      <c r="J2" s="2"/>
      <c r="K2" s="2"/>
    </row>
    <row r="4" spans="1:13" ht="14.5" thickBot="1">
      <c r="A4" s="9" t="s">
        <v>119</v>
      </c>
      <c r="B4" s="9"/>
      <c r="C4" s="10" t="s">
        <v>130</v>
      </c>
      <c r="D4" s="10" t="s">
        <v>192</v>
      </c>
      <c r="E4" s="10" t="s">
        <v>222</v>
      </c>
      <c r="F4" s="10" t="s">
        <v>244</v>
      </c>
      <c r="G4" s="10" t="s">
        <v>286</v>
      </c>
      <c r="H4" s="10" t="s">
        <v>297</v>
      </c>
      <c r="I4" s="168" t="s">
        <v>305</v>
      </c>
      <c r="J4" s="10" t="s">
        <v>316</v>
      </c>
      <c r="K4" s="10" t="s">
        <v>351</v>
      </c>
      <c r="M4" s="176" t="s">
        <v>320</v>
      </c>
    </row>
    <row r="5" spans="1:13">
      <c r="I5" s="169"/>
    </row>
    <row r="6" spans="1:13">
      <c r="I6" s="169"/>
    </row>
    <row r="7" spans="1:13">
      <c r="A7" s="119" t="s">
        <v>167</v>
      </c>
      <c r="B7" s="86"/>
      <c r="C7" s="48">
        <f>ROUND('Fin. Highlights - FY'!C11,1)</f>
        <v>1137.7</v>
      </c>
      <c r="D7" s="48">
        <f>ROUND('Fin. Highlights - FY'!D11,1)</f>
        <v>1234.7</v>
      </c>
      <c r="E7" s="48">
        <f>ROUND('Fin. Highlights - FY'!E11-0.05,1)</f>
        <v>1310</v>
      </c>
      <c r="F7" s="48">
        <f>ROUND('Fin. Highlights - FY'!F11,2)</f>
        <v>892.63</v>
      </c>
      <c r="G7" s="48">
        <f>IFERROR(ROUND('Fin. Highlights - FY'!G11,2),"n.a.")</f>
        <v>1210.72</v>
      </c>
      <c r="H7" s="48">
        <f>IFERROR('Fin. Highlights - FY'!H11,"n.a.")-0.03</f>
        <v>1408.316</v>
      </c>
      <c r="I7" s="170">
        <f>+'Fin. Highlights - FY'!I11</f>
        <v>1446.0561405516601</v>
      </c>
      <c r="J7" s="48">
        <f>+'Fin. Highlights - FY'!J11</f>
        <v>1519.5</v>
      </c>
      <c r="K7" s="48">
        <f>+'Fin. Highlights - FY'!K11</f>
        <v>1548.2792637944899</v>
      </c>
    </row>
    <row r="8" spans="1:13">
      <c r="A8" s="87" t="s">
        <v>28</v>
      </c>
      <c r="B8" s="86"/>
      <c r="C8" s="51">
        <f t="shared" ref="C8:H8" si="0">IFERROR(ROUND(C62+C67,1),"n.a.")</f>
        <v>-489.4</v>
      </c>
      <c r="D8" s="51">
        <f t="shared" si="0"/>
        <v>-463.4</v>
      </c>
      <c r="E8" s="51">
        <f t="shared" si="0"/>
        <v>-390.5</v>
      </c>
      <c r="F8" s="51">
        <f t="shared" si="0"/>
        <v>-140</v>
      </c>
      <c r="G8" s="51">
        <f t="shared" si="0"/>
        <v>-345.6</v>
      </c>
      <c r="H8" s="51">
        <f t="shared" si="0"/>
        <v>-397.7</v>
      </c>
      <c r="I8" s="171">
        <f>IFERROR(ROUND(I62+I67,1),"n.a.")</f>
        <v>-405.7</v>
      </c>
      <c r="J8" s="51">
        <f>IFERROR(ROUND(J62+J67,1),"n.a.")</f>
        <v>-414.9</v>
      </c>
      <c r="K8" s="51">
        <f>IFERROR(ROUND(K62+K67,1),"n.a.")</f>
        <v>-419.7</v>
      </c>
    </row>
    <row r="9" spans="1:13">
      <c r="A9" s="87" t="s">
        <v>234</v>
      </c>
      <c r="B9" s="86"/>
      <c r="C9" s="24">
        <v>0</v>
      </c>
      <c r="D9" s="24">
        <v>0</v>
      </c>
      <c r="E9" s="24">
        <v>-51.2</v>
      </c>
      <c r="F9" s="24">
        <v>-68.5</v>
      </c>
      <c r="G9" s="24">
        <v>-122.4</v>
      </c>
      <c r="H9" s="24">
        <v>-79.7</v>
      </c>
      <c r="I9" s="172">
        <v>-101.2</v>
      </c>
      <c r="J9" s="24">
        <v>-118.8</v>
      </c>
      <c r="K9" s="24">
        <v>-112.9</v>
      </c>
    </row>
    <row r="10" spans="1:13">
      <c r="A10" s="87" t="s">
        <v>140</v>
      </c>
      <c r="B10" s="86"/>
      <c r="C10" s="24">
        <v>123.8</v>
      </c>
      <c r="D10" s="24">
        <v>-388.2</v>
      </c>
      <c r="E10" s="24">
        <v>-60.800000000000004</v>
      </c>
      <c r="F10" s="24">
        <v>-92.8</v>
      </c>
      <c r="G10" s="24">
        <v>50.9</v>
      </c>
      <c r="H10" s="24">
        <v>77.90000000000002</v>
      </c>
      <c r="I10" s="172">
        <v>85.4</v>
      </c>
      <c r="J10" s="24">
        <v>3</v>
      </c>
      <c r="K10" s="24">
        <v>8.5</v>
      </c>
    </row>
    <row r="11" spans="1:13">
      <c r="A11" s="18" t="s">
        <v>129</v>
      </c>
      <c r="B11" s="18"/>
      <c r="C11" s="29">
        <f t="shared" ref="C11:F11" si="1">IFERROR(C7+C8+C9+C10,"n.a.")</f>
        <v>772.1</v>
      </c>
      <c r="D11" s="29">
        <f t="shared" si="1"/>
        <v>383.10000000000008</v>
      </c>
      <c r="E11" s="29">
        <f t="shared" si="1"/>
        <v>807.5</v>
      </c>
      <c r="F11" s="29">
        <f t="shared" si="1"/>
        <v>591.33000000000004</v>
      </c>
      <c r="G11" s="29">
        <f>IFERROR(G7+G8+G9+G10,"n.a.")</f>
        <v>793.62</v>
      </c>
      <c r="H11" s="29">
        <f>IFERROR(H7+H8+H9+H10,"n.a.")</f>
        <v>1008.8159999999999</v>
      </c>
      <c r="I11" s="173">
        <f>IFERROR(I7+I8+I9+I10,"n.a.")</f>
        <v>1024.5561405516601</v>
      </c>
      <c r="J11" s="29">
        <f>IFERROR(J7+J8+J9+J10,"n.a.")</f>
        <v>988.8</v>
      </c>
      <c r="K11" s="29">
        <f>IFERROR(K7+K8+K9+K10,"n.a.")</f>
        <v>1024.17926379449</v>
      </c>
    </row>
    <row r="12" spans="1:13" ht="12.5">
      <c r="A12" s="87" t="s">
        <v>17</v>
      </c>
      <c r="B12" s="86"/>
      <c r="C12" s="48">
        <f>C50</f>
        <v>-135.5</v>
      </c>
      <c r="D12" s="48">
        <f>D50</f>
        <v>-119.042</v>
      </c>
      <c r="E12" s="48">
        <f>E50</f>
        <v>-141.98500000000001</v>
      </c>
      <c r="F12" s="48">
        <f>F50</f>
        <v>-90.691999999999993</v>
      </c>
      <c r="G12" s="48">
        <f>G50</f>
        <v>-125.634</v>
      </c>
      <c r="H12" s="48">
        <f>H50-0.01</f>
        <v>-205.46545425319079</v>
      </c>
      <c r="I12" s="170">
        <f>I50</f>
        <v>-138.98783525473061</v>
      </c>
      <c r="J12" s="48">
        <f>J50</f>
        <v>-158.48783559427511</v>
      </c>
      <c r="K12" s="48">
        <f>K50</f>
        <v>-154.24049470268901</v>
      </c>
      <c r="L12" s="83"/>
    </row>
    <row r="13" spans="1:13" ht="12.5">
      <c r="A13" s="87" t="s">
        <v>319</v>
      </c>
      <c r="B13" s="86"/>
      <c r="C13" s="51">
        <f>IFERROR(-C42,"n.a.")</f>
        <v>-362.61</v>
      </c>
      <c r="D13" s="207">
        <f>IFERROR(-D42,"n.a.")</f>
        <v>-196.31100000000001</v>
      </c>
      <c r="E13" s="207">
        <f>IFERROR(-E42+0.1,"n.a.")</f>
        <v>-109.37900000000002</v>
      </c>
      <c r="F13" s="207">
        <f>IFERROR(-F42+0.1,"n.a.")</f>
        <v>-156.40200000000002</v>
      </c>
      <c r="G13" s="207">
        <f>IFERROR(-G42,"n.a.")</f>
        <v>-144.28100000000001</v>
      </c>
      <c r="H13" s="207">
        <f>IFERROR(-H42,"n.a.")-0.01</f>
        <v>-201.70599999999999</v>
      </c>
      <c r="I13" s="171">
        <v>-271.60000000000002</v>
      </c>
      <c r="J13" s="51">
        <v>-249.4</v>
      </c>
      <c r="K13" s="51">
        <v>-200.3</v>
      </c>
      <c r="L13" s="83"/>
      <c r="M13" s="179" t="s">
        <v>321</v>
      </c>
    </row>
    <row r="14" spans="1:13" ht="12.5">
      <c r="A14" s="87" t="s">
        <v>98</v>
      </c>
      <c r="B14" s="86"/>
      <c r="C14" s="24">
        <v>-84</v>
      </c>
      <c r="D14" s="24">
        <v>-154.80000000000001</v>
      </c>
      <c r="E14" s="24">
        <v>-194.6</v>
      </c>
      <c r="F14" s="24">
        <v>-102.9</v>
      </c>
      <c r="G14" s="24">
        <v>-96.3</v>
      </c>
      <c r="H14" s="24">
        <v>-86.1</v>
      </c>
      <c r="I14" s="172">
        <v>-105.1</v>
      </c>
      <c r="J14" s="24">
        <v>-13.5</v>
      </c>
      <c r="K14" s="24">
        <v>-151.6</v>
      </c>
      <c r="L14" s="83"/>
    </row>
    <row r="15" spans="1:13" s="14" customFormat="1" ht="12.65" customHeight="1">
      <c r="A15" s="18" t="s">
        <v>248</v>
      </c>
      <c r="B15" s="18"/>
      <c r="C15" s="29">
        <f>IFERROR(C11+C12+C13+C14,"n.a")</f>
        <v>189.99</v>
      </c>
      <c r="D15" s="29">
        <f>IFERROR(D11+D12+D13+D14+0.05,"n.a")</f>
        <v>-87.002999999999915</v>
      </c>
      <c r="E15" s="29">
        <f t="shared" ref="E15:J15" si="2">IFERROR(E11+E12+E13+E14,"n.a")</f>
        <v>361.53599999999994</v>
      </c>
      <c r="F15" s="29">
        <f t="shared" si="2"/>
        <v>241.33599999999998</v>
      </c>
      <c r="G15" s="29">
        <f t="shared" si="2"/>
        <v>427.40499999999992</v>
      </c>
      <c r="H15" s="29">
        <f t="shared" si="2"/>
        <v>515.54454574680904</v>
      </c>
      <c r="I15" s="173">
        <f t="shared" si="2"/>
        <v>508.86830529692941</v>
      </c>
      <c r="J15" s="29">
        <f t="shared" si="2"/>
        <v>567.41216440572487</v>
      </c>
      <c r="K15" s="29">
        <f>IFERROR(K11+K12+K13+K14,"n.a")</f>
        <v>518.03876909180087</v>
      </c>
      <c r="M15" s="177"/>
    </row>
    <row r="16" spans="1:13" ht="12.5">
      <c r="A16" s="16" t="s">
        <v>233</v>
      </c>
      <c r="B16" s="86"/>
      <c r="C16" s="24">
        <f>25.7-15.4</f>
        <v>10.299999999999999</v>
      </c>
      <c r="D16" s="24">
        <f>155.2-18.5-1.4</f>
        <v>135.29999999999998</v>
      </c>
      <c r="E16" s="24">
        <f>-17-0.4</f>
        <v>-17.399999999999999</v>
      </c>
      <c r="F16" s="24">
        <v>0</v>
      </c>
      <c r="G16" s="24">
        <v>3.8</v>
      </c>
      <c r="H16" s="24">
        <v>0</v>
      </c>
      <c r="I16" s="172">
        <v>0</v>
      </c>
      <c r="J16" s="24">
        <v>-33.5</v>
      </c>
      <c r="K16" s="24">
        <v>59.3</v>
      </c>
      <c r="L16" s="83"/>
    </row>
    <row r="17" spans="1:13" ht="12.5">
      <c r="A17" s="87" t="s">
        <v>249</v>
      </c>
      <c r="B17" s="86"/>
      <c r="C17" s="24">
        <v>0</v>
      </c>
      <c r="D17" s="24">
        <v>0</v>
      </c>
      <c r="E17" s="24">
        <v>0</v>
      </c>
      <c r="F17" s="24">
        <v>-33.700000000000003</v>
      </c>
      <c r="G17" s="24">
        <v>0</v>
      </c>
      <c r="H17" s="24">
        <v>0</v>
      </c>
      <c r="I17" s="172">
        <v>0</v>
      </c>
      <c r="J17" s="24">
        <v>0</v>
      </c>
      <c r="K17" s="24">
        <v>0</v>
      </c>
      <c r="L17" s="83"/>
    </row>
    <row r="18" spans="1:13" s="14" customFormat="1" ht="13">
      <c r="A18" s="18" t="s">
        <v>250</v>
      </c>
      <c r="B18" s="18"/>
      <c r="C18" s="29">
        <f t="shared" ref="C18:F18" si="3">IFERROR(C15+C16+C17,"n.a.")</f>
        <v>200.29000000000002</v>
      </c>
      <c r="D18" s="29">
        <f t="shared" si="3"/>
        <v>48.297000000000068</v>
      </c>
      <c r="E18" s="29">
        <f t="shared" si="3"/>
        <v>344.13599999999997</v>
      </c>
      <c r="F18" s="29">
        <f t="shared" si="3"/>
        <v>207.63599999999997</v>
      </c>
      <c r="G18" s="29">
        <f>IFERROR(G15+G16+G17,"n.a.")</f>
        <v>431.20499999999993</v>
      </c>
      <c r="H18" s="29">
        <f>IFERROR(H15+H16+H17,"n.a.")</f>
        <v>515.54454574680904</v>
      </c>
      <c r="I18" s="173">
        <f>IFERROR(I15+I16+I17,"n.a.")</f>
        <v>508.86830529692941</v>
      </c>
      <c r="J18" s="29">
        <f>IFERROR(J15+J16+J17,"n.a.")</f>
        <v>533.91216440572487</v>
      </c>
      <c r="K18" s="29">
        <f>IFERROR(K15+K16+K17,"n.a.")</f>
        <v>577.33876909180083</v>
      </c>
      <c r="M18" s="177"/>
    </row>
    <row r="19" spans="1:13" s="180" customFormat="1" ht="12.5">
      <c r="C19" s="181"/>
      <c r="D19" s="181"/>
      <c r="E19" s="181"/>
      <c r="F19" s="181"/>
      <c r="G19" s="181"/>
      <c r="H19" s="181"/>
      <c r="I19" s="174"/>
      <c r="J19" s="181"/>
      <c r="K19" s="181"/>
      <c r="M19" s="182"/>
    </row>
    <row r="20" spans="1:13" ht="12.75" customHeight="1">
      <c r="A20" s="183"/>
      <c r="B20" s="130"/>
      <c r="C20" s="184"/>
      <c r="D20" s="184"/>
      <c r="E20" s="184"/>
      <c r="F20" s="184"/>
      <c r="G20" s="184"/>
      <c r="H20" s="184"/>
      <c r="I20" s="185"/>
      <c r="J20" s="184"/>
      <c r="K20" s="184"/>
      <c r="L20" s="83"/>
    </row>
    <row r="21" spans="1:13" ht="13">
      <c r="A21" s="75" t="s">
        <v>153</v>
      </c>
      <c r="B21" s="75"/>
      <c r="C21" s="78">
        <v>4912.8</v>
      </c>
      <c r="D21" s="78">
        <f>ROUND('Balance Sheet - FY'!C36,1)</f>
        <v>3218.5</v>
      </c>
      <c r="E21" s="78">
        <f>ROUND('Balance Sheet - FY'!D36,1)</f>
        <v>3180.1</v>
      </c>
      <c r="F21" s="78">
        <f>ROUND('Balance Sheet - FY'!E40,1)</f>
        <v>3507.2</v>
      </c>
      <c r="G21" s="78">
        <f>ROUND('Balance Sheet - FY'!F40,1)</f>
        <v>3258.4</v>
      </c>
      <c r="H21" s="78">
        <f>ROUND('Balance Sheet - FY'!G40,1)</f>
        <v>2907.1</v>
      </c>
      <c r="I21" s="218">
        <f>ROUND('Balance Sheet - FY'!H40,1)</f>
        <v>2552.6</v>
      </c>
      <c r="J21" s="78">
        <f>ROUND('Balance Sheet - FY'!I40,1)</f>
        <v>2261.6999999999998</v>
      </c>
      <c r="K21" s="78">
        <f>ROUND('Balance Sheet - FY'!J40,1)</f>
        <v>1925.8</v>
      </c>
      <c r="L21" s="83"/>
    </row>
    <row r="22" spans="1:13" ht="12.5">
      <c r="A22" s="87" t="str">
        <f>A18</f>
        <v>Net Cash Flow before dividends &amp; convertible bond impact</v>
      </c>
      <c r="B22" s="86"/>
      <c r="C22" s="48">
        <f t="shared" ref="C22:J22" si="4">IFERROR(-C18,"n.a.")</f>
        <v>-200.29000000000002</v>
      </c>
      <c r="D22" s="48">
        <f t="shared" si="4"/>
        <v>-48.297000000000068</v>
      </c>
      <c r="E22" s="48">
        <f t="shared" si="4"/>
        <v>-344.13599999999997</v>
      </c>
      <c r="F22" s="48">
        <f t="shared" si="4"/>
        <v>-207.63599999999997</v>
      </c>
      <c r="G22" s="48">
        <f t="shared" si="4"/>
        <v>-431.20499999999993</v>
      </c>
      <c r="H22" s="48">
        <f t="shared" si="4"/>
        <v>-515.54454574680904</v>
      </c>
      <c r="I22" s="170">
        <f t="shared" si="4"/>
        <v>-508.86830529692941</v>
      </c>
      <c r="J22" s="48">
        <f t="shared" si="4"/>
        <v>-533.91216440572487</v>
      </c>
      <c r="K22" s="48">
        <f t="shared" ref="K22" si="5">IFERROR(-K18,"n.a.")</f>
        <v>-577.33876909180083</v>
      </c>
      <c r="L22" s="83"/>
    </row>
    <row r="23" spans="1:13" ht="12.5">
      <c r="A23" s="87" t="s">
        <v>251</v>
      </c>
      <c r="B23" s="86"/>
      <c r="C23" s="24">
        <v>0</v>
      </c>
      <c r="D23" s="24">
        <v>0</v>
      </c>
      <c r="E23" s="24">
        <v>0</v>
      </c>
      <c r="F23" s="24">
        <v>-41.2</v>
      </c>
      <c r="G23" s="24">
        <v>0</v>
      </c>
      <c r="H23" s="24">
        <v>0</v>
      </c>
      <c r="I23" s="172">
        <v>0</v>
      </c>
      <c r="J23" s="24">
        <v>0</v>
      </c>
      <c r="K23" s="24">
        <v>-496.5</v>
      </c>
      <c r="L23" s="83"/>
    </row>
    <row r="24" spans="1:13" ht="12.5">
      <c r="A24" s="87" t="s">
        <v>99</v>
      </c>
      <c r="B24" s="86"/>
      <c r="C24" s="24">
        <v>0</v>
      </c>
      <c r="D24" s="24">
        <v>0</v>
      </c>
      <c r="E24" s="24">
        <v>176.9</v>
      </c>
      <c r="F24" s="24">
        <v>0</v>
      </c>
      <c r="G24" s="24">
        <v>79.900000000000006</v>
      </c>
      <c r="H24" s="24">
        <v>161</v>
      </c>
      <c r="I24" s="172">
        <v>218</v>
      </c>
      <c r="J24" s="24">
        <v>198</v>
      </c>
      <c r="K24" s="24">
        <v>250</v>
      </c>
      <c r="L24" s="83"/>
    </row>
    <row r="25" spans="1:13" ht="12.5">
      <c r="A25" s="87" t="s">
        <v>100</v>
      </c>
      <c r="B25" s="86"/>
      <c r="C25" s="24">
        <v>-304.60000000000002</v>
      </c>
      <c r="D25" s="24">
        <v>9.9</v>
      </c>
      <c r="E25" s="24">
        <v>0</v>
      </c>
      <c r="F25" s="24">
        <v>0</v>
      </c>
      <c r="G25" s="24">
        <v>0</v>
      </c>
      <c r="H25" s="24">
        <v>0</v>
      </c>
      <c r="I25" s="172">
        <v>0</v>
      </c>
      <c r="J25" s="24">
        <v>0</v>
      </c>
      <c r="K25" s="24">
        <v>0</v>
      </c>
      <c r="L25" s="83"/>
    </row>
    <row r="26" spans="1:13" ht="12.5">
      <c r="A26" s="87" t="s">
        <v>101</v>
      </c>
      <c r="B26" s="86"/>
      <c r="C26" s="48">
        <f t="shared" ref="C26:J26" si="6">IFERROR(-C83,"n.a.")</f>
        <v>-1189.375</v>
      </c>
      <c r="D26" s="48">
        <f t="shared" si="6"/>
        <v>0</v>
      </c>
      <c r="E26" s="48">
        <f t="shared" si="6"/>
        <v>0</v>
      </c>
      <c r="F26" s="48">
        <f t="shared" si="6"/>
        <v>0</v>
      </c>
      <c r="G26" s="48">
        <f t="shared" si="6"/>
        <v>0</v>
      </c>
      <c r="H26" s="48">
        <f t="shared" si="6"/>
        <v>0</v>
      </c>
      <c r="I26" s="170">
        <f t="shared" si="6"/>
        <v>0</v>
      </c>
      <c r="J26" s="48">
        <f t="shared" si="6"/>
        <v>0</v>
      </c>
      <c r="K26" s="48">
        <f t="shared" ref="K26" si="7">IFERROR(-K83,"n.a.")</f>
        <v>0</v>
      </c>
      <c r="L26" s="83"/>
    </row>
    <row r="27" spans="1:13" ht="12.5">
      <c r="A27" s="129" t="s">
        <v>199</v>
      </c>
      <c r="B27" s="130"/>
      <c r="C27" s="24">
        <v>0</v>
      </c>
      <c r="D27" s="24">
        <v>0</v>
      </c>
      <c r="E27" s="24">
        <v>11.2</v>
      </c>
      <c r="F27" s="24">
        <v>0</v>
      </c>
      <c r="G27" s="24">
        <v>0</v>
      </c>
      <c r="H27" s="24">
        <v>0</v>
      </c>
      <c r="I27" s="172">
        <v>0</v>
      </c>
      <c r="J27" s="24">
        <v>0</v>
      </c>
      <c r="K27" s="24">
        <v>0</v>
      </c>
      <c r="L27" s="83"/>
    </row>
    <row r="28" spans="1:13" s="14" customFormat="1" ht="13">
      <c r="A28" s="76" t="s">
        <v>200</v>
      </c>
      <c r="B28" s="76"/>
      <c r="C28" s="65">
        <f>IFERROR(C21+C22+C23+C24+C25+C26+C27,"n.a.")</f>
        <v>3218.5349999999999</v>
      </c>
      <c r="D28" s="65">
        <f t="shared" ref="D28:K28" si="8">IFERROR(D21+D22+D23+D24+D25+D26+D27,"n.a.")</f>
        <v>3180.1030000000001</v>
      </c>
      <c r="E28" s="65">
        <f t="shared" si="8"/>
        <v>3024.0639999999999</v>
      </c>
      <c r="F28" s="65">
        <f t="shared" si="8"/>
        <v>3258.364</v>
      </c>
      <c r="G28" s="65">
        <f t="shared" si="8"/>
        <v>2907.0950000000003</v>
      </c>
      <c r="H28" s="65">
        <f t="shared" si="8"/>
        <v>2552.5554542531909</v>
      </c>
      <c r="I28" s="222">
        <f t="shared" si="8"/>
        <v>2261.7316947030704</v>
      </c>
      <c r="J28" s="65">
        <f t="shared" si="8"/>
        <v>1925.7878355942748</v>
      </c>
      <c r="K28" s="65">
        <f t="shared" si="8"/>
        <v>1101.961230908199</v>
      </c>
      <c r="M28" s="177"/>
    </row>
    <row r="29" spans="1:13" ht="12.5">
      <c r="A29" s="87" t="s">
        <v>275</v>
      </c>
      <c r="B29" s="86"/>
      <c r="C29" s="24">
        <v>0</v>
      </c>
      <c r="D29" s="24">
        <v>0</v>
      </c>
      <c r="E29" s="24">
        <v>494.3</v>
      </c>
      <c r="F29" s="24">
        <v>0</v>
      </c>
      <c r="G29" s="24">
        <v>0</v>
      </c>
      <c r="H29" s="24">
        <v>0</v>
      </c>
      <c r="I29" s="223">
        <v>0</v>
      </c>
      <c r="J29" s="24">
        <v>0</v>
      </c>
      <c r="K29" s="24">
        <v>0</v>
      </c>
      <c r="L29" s="83"/>
    </row>
    <row r="30" spans="1:13" ht="12.5">
      <c r="A30" s="87" t="s">
        <v>214</v>
      </c>
      <c r="B30" s="86"/>
      <c r="C30" s="24">
        <v>0</v>
      </c>
      <c r="D30" s="24">
        <v>0</v>
      </c>
      <c r="E30" s="24">
        <v>-11.2</v>
      </c>
      <c r="F30" s="24">
        <v>0</v>
      </c>
      <c r="G30" s="24">
        <v>0</v>
      </c>
      <c r="H30" s="24">
        <v>0</v>
      </c>
      <c r="I30" s="223">
        <v>0</v>
      </c>
      <c r="J30" s="24">
        <v>0</v>
      </c>
      <c r="K30" s="24">
        <v>0</v>
      </c>
      <c r="L30" s="83"/>
    </row>
    <row r="31" spans="1:13" s="14" customFormat="1" ht="13">
      <c r="A31" s="76" t="s">
        <v>201</v>
      </c>
      <c r="B31" s="76"/>
      <c r="C31" s="65">
        <f t="shared" ref="C31:K31" si="9">IFERROR(C28+C29+C30,"n.a.")</f>
        <v>3218.5349999999999</v>
      </c>
      <c r="D31" s="65">
        <f t="shared" si="9"/>
        <v>3180.1030000000001</v>
      </c>
      <c r="E31" s="65">
        <f t="shared" si="9"/>
        <v>3507.1640000000002</v>
      </c>
      <c r="F31" s="65">
        <f t="shared" si="9"/>
        <v>3258.364</v>
      </c>
      <c r="G31" s="65">
        <f t="shared" si="9"/>
        <v>2907.0950000000003</v>
      </c>
      <c r="H31" s="65">
        <f t="shared" si="9"/>
        <v>2552.5554542531909</v>
      </c>
      <c r="I31" s="224">
        <f t="shared" si="9"/>
        <v>2261.7316947030704</v>
      </c>
      <c r="J31" s="65">
        <f t="shared" si="9"/>
        <v>1925.7878355942748</v>
      </c>
      <c r="K31" s="65">
        <f t="shared" si="9"/>
        <v>1101.961230908199</v>
      </c>
      <c r="M31" s="177"/>
    </row>
    <row r="32" spans="1:13" ht="12.5">
      <c r="L32" s="83"/>
    </row>
    <row r="33" spans="1:13" ht="12.5">
      <c r="L33" s="83"/>
    </row>
    <row r="34" spans="1:13" ht="13.5" thickBot="1">
      <c r="A34" s="9" t="s">
        <v>117</v>
      </c>
      <c r="B34" s="9"/>
      <c r="C34" s="10" t="str">
        <f t="shared" ref="C34:K34" si="10">C4</f>
        <v>FY 2017</v>
      </c>
      <c r="D34" s="10" t="str">
        <f t="shared" si="10"/>
        <v>FY 2018</v>
      </c>
      <c r="E34" s="10" t="str">
        <f t="shared" si="10"/>
        <v>FY 2019</v>
      </c>
      <c r="F34" s="10" t="str">
        <f t="shared" si="10"/>
        <v>FY 2020</v>
      </c>
      <c r="G34" s="10" t="str">
        <f t="shared" si="10"/>
        <v>FY 2021</v>
      </c>
      <c r="H34" s="10" t="str">
        <f t="shared" si="10"/>
        <v>FY 2022</v>
      </c>
      <c r="I34" s="10" t="str">
        <f t="shared" si="10"/>
        <v>FY 2023</v>
      </c>
      <c r="J34" s="10" t="str">
        <f t="shared" si="10"/>
        <v>FY 2024</v>
      </c>
      <c r="K34" s="10" t="str">
        <f t="shared" si="10"/>
        <v>FY 2025</v>
      </c>
      <c r="L34" s="83"/>
    </row>
    <row r="35" spans="1:13" ht="12.5">
      <c r="C35" s="82" t="s">
        <v>138</v>
      </c>
      <c r="D35" s="82" t="s">
        <v>138</v>
      </c>
      <c r="E35" s="82" t="s">
        <v>138</v>
      </c>
      <c r="F35" s="82" t="s">
        <v>138</v>
      </c>
      <c r="G35" s="82" t="s">
        <v>138</v>
      </c>
      <c r="H35" s="82" t="s">
        <v>138</v>
      </c>
      <c r="I35" s="82" t="s">
        <v>138</v>
      </c>
      <c r="J35" s="82" t="s">
        <v>138</v>
      </c>
      <c r="K35" s="82" t="s">
        <v>138</v>
      </c>
      <c r="L35" s="83"/>
    </row>
    <row r="36" spans="1:13" ht="12.5">
      <c r="L36" s="83"/>
    </row>
    <row r="37" spans="1:13" ht="12.75" hidden="1" customHeight="1" outlineLevel="3">
      <c r="A37" s="80" t="s">
        <v>18</v>
      </c>
      <c r="B37" s="77"/>
      <c r="C37" s="78">
        <f>'Fin. Highlights - FY'!C34</f>
        <v>175.72499999999985</v>
      </c>
      <c r="D37" s="78">
        <f>'Fin. Highlights - FY'!D34</f>
        <v>442.39099999999985</v>
      </c>
      <c r="E37" s="78">
        <f>'Fin. Highlights - FY'!E34</f>
        <v>457.65899999999999</v>
      </c>
      <c r="F37" s="78">
        <f>'Fin. Highlights - FY'!F34</f>
        <v>42.745000000000047</v>
      </c>
      <c r="G37" s="78">
        <f>IFERROR('Fin. Highlights - FY'!G34,"n.a.")</f>
        <v>321.63899999999984</v>
      </c>
      <c r="H37" s="78">
        <f>IFERROR('Fin. Highlights - FY'!H34,"n.a.")</f>
        <v>435.89600000000007</v>
      </c>
      <c r="I37" s="78">
        <f>IFERROR('Fin. Highlights - FY'!I34,"n.a.")</f>
        <v>495.90623628687035</v>
      </c>
      <c r="J37" s="78">
        <f>IFERROR('Fin. Highlights - FY'!J34,"n.a.")</f>
        <v>501.13917406914038</v>
      </c>
      <c r="K37" s="78">
        <f>IFERROR('Fin. Highlights - FY'!K34,"n.a.")</f>
        <v>530.69754508722349</v>
      </c>
      <c r="L37" s="83"/>
    </row>
    <row r="38" spans="1:13" ht="12.75" hidden="1" customHeight="1" outlineLevel="3">
      <c r="A38" s="89" t="s">
        <v>68</v>
      </c>
      <c r="B38" s="86"/>
      <c r="C38" s="48">
        <f>-'Fin. Highlights - FY'!C33</f>
        <v>87.561999999999998</v>
      </c>
      <c r="D38" s="48">
        <f>-'Fin. Highlights - FY'!D33</f>
        <v>6.4089999999999998</v>
      </c>
      <c r="E38" s="48">
        <f>-'Fin. Highlights - FY'!E33</f>
        <v>0</v>
      </c>
      <c r="F38" s="48">
        <f>-'Fin. Highlights - FY'!F33</f>
        <v>0</v>
      </c>
      <c r="G38" s="48">
        <f>IFERROR(-'Fin. Highlights - FY'!G33,"n.a.")</f>
        <v>0</v>
      </c>
      <c r="H38" s="48">
        <f>IFERROR(-'Fin. Highlights - FY'!H33,"n.a.")</f>
        <v>0</v>
      </c>
      <c r="I38" s="48">
        <f>IFERROR(-'Fin. Highlights - FY'!I33,"n.a.")</f>
        <v>0</v>
      </c>
      <c r="J38" s="48">
        <f>IFERROR(-'Fin. Highlights - FY'!J33,"n.a.")</f>
        <v>0</v>
      </c>
      <c r="K38" s="48">
        <f>IFERROR(-'Fin. Highlights - FY'!K33,"n.a.")</f>
        <v>0</v>
      </c>
      <c r="L38" s="83"/>
    </row>
    <row r="39" spans="1:13" ht="12.75" hidden="1" customHeight="1" outlineLevel="3">
      <c r="A39" s="89" t="s">
        <v>69</v>
      </c>
      <c r="B39" s="86"/>
      <c r="C39" s="48">
        <f>-'Fin. Highlights - FY'!C30</f>
        <v>40.847999999999999</v>
      </c>
      <c r="D39" s="48">
        <f>-'Fin. Highlights - FY'!D30</f>
        <v>53</v>
      </c>
      <c r="E39" s="48">
        <f>-'Fin. Highlights - FY'!E30</f>
        <v>164.56200000000001</v>
      </c>
      <c r="F39" s="48">
        <f>-'Fin. Highlights - FY'!F30</f>
        <v>14.693</v>
      </c>
      <c r="G39" s="48">
        <f>IFERROR(-'Fin. Highlights - FY'!G30,"n.a.")</f>
        <v>115.158</v>
      </c>
      <c r="H39" s="48">
        <f>IFERROR(-'Fin. Highlights - FY'!H30,"n.a.")</f>
        <v>159.73400000000001</v>
      </c>
      <c r="I39" s="48">
        <f>IFERROR(-'Fin. Highlights - FY'!I30,"n.a.")</f>
        <v>134.19818087089402</v>
      </c>
      <c r="J39" s="48">
        <f>IFERROR(-'Fin. Highlights - FY'!J30,"n.a.")</f>
        <v>146.65420056539722</v>
      </c>
      <c r="K39" s="48">
        <f>IFERROR(-'Fin. Highlights - FY'!K30,"n.a.")</f>
        <v>229.46592586071301</v>
      </c>
      <c r="L39" s="83"/>
    </row>
    <row r="40" spans="1:13" ht="12.75" hidden="1" customHeight="1" outlineLevel="2">
      <c r="A40" s="81" t="s">
        <v>76</v>
      </c>
      <c r="B40" s="53"/>
      <c r="C40" s="101">
        <f>IFERROR(C37+C38+C39,"n.a.")</f>
        <v>304.13499999999988</v>
      </c>
      <c r="D40" s="101">
        <f>IFERROR(D37+D38+D39-0.035,"n.a.")</f>
        <v>501.76499999999982</v>
      </c>
      <c r="E40" s="101">
        <f>IFERROR(E37+E38+E39+0.038,"n.a.")</f>
        <v>622.25900000000001</v>
      </c>
      <c r="F40" s="101">
        <f>IFERROR(F37+F38+F39-0.072,"n.a.")</f>
        <v>57.366000000000042</v>
      </c>
      <c r="G40" s="101">
        <f>IFERROR(G37+G38+G39,"n.a.")</f>
        <v>436.79699999999985</v>
      </c>
      <c r="H40" s="101">
        <f>IFERROR(H37+H38+H39,"n.a.")</f>
        <v>595.63000000000011</v>
      </c>
      <c r="I40" s="101">
        <f>IFERROR(I37+I38+I39,"n.a.")</f>
        <v>630.10441715776437</v>
      </c>
      <c r="J40" s="101">
        <f>IFERROR(J37+J38+J39,"n.a.")</f>
        <v>647.7933746345376</v>
      </c>
      <c r="K40" s="101">
        <f>IFERROR(K37+K38+K39,"n.a.")</f>
        <v>760.1634709479365</v>
      </c>
      <c r="L40" s="83"/>
    </row>
    <row r="41" spans="1:13" ht="12.5" hidden="1" outlineLevel="2">
      <c r="A41" s="85" t="s">
        <v>70</v>
      </c>
      <c r="B41" s="86"/>
      <c r="C41" s="24">
        <v>371.45699999999999</v>
      </c>
      <c r="D41" s="24">
        <v>414.52300000000002</v>
      </c>
      <c r="E41" s="24">
        <v>527.81799999999998</v>
      </c>
      <c r="F41" s="24">
        <v>517.15200000000004</v>
      </c>
      <c r="G41" s="24">
        <v>517.19200000000001</v>
      </c>
      <c r="H41" s="24">
        <v>566.68899999999996</v>
      </c>
      <c r="I41" s="24">
        <v>588.46299999999997</v>
      </c>
      <c r="J41" s="24">
        <v>574.95000000000005</v>
      </c>
      <c r="K41" s="24">
        <v>589.79700000000003</v>
      </c>
      <c r="L41" s="83"/>
    </row>
    <row r="42" spans="1:13" ht="12.5" hidden="1" outlineLevel="2">
      <c r="A42" s="85" t="s">
        <v>255</v>
      </c>
      <c r="B42" s="86"/>
      <c r="C42" s="51">
        <f t="shared" ref="C42:E42" si="11">IFERROR(C43+C44,"n.a.")</f>
        <v>362.61</v>
      </c>
      <c r="D42" s="51">
        <f t="shared" si="11"/>
        <v>196.31100000000001</v>
      </c>
      <c r="E42" s="51">
        <f t="shared" si="11"/>
        <v>109.47900000000001</v>
      </c>
      <c r="F42" s="24">
        <v>156.50200000000001</v>
      </c>
      <c r="G42" s="24">
        <v>144.28100000000001</v>
      </c>
      <c r="H42" s="24">
        <v>201.696</v>
      </c>
      <c r="I42" s="24">
        <v>194.10300000000001</v>
      </c>
      <c r="J42" s="24">
        <v>286.58499999999998</v>
      </c>
      <c r="K42" s="24">
        <v>183.74799999999999</v>
      </c>
      <c r="L42" s="83"/>
    </row>
    <row r="43" spans="1:13" ht="12.5" hidden="1" outlineLevel="3">
      <c r="A43" s="85" t="s">
        <v>71</v>
      </c>
      <c r="B43" s="86"/>
      <c r="C43" s="24">
        <v>491.15</v>
      </c>
      <c r="D43" s="24">
        <v>255.173</v>
      </c>
      <c r="E43" s="24">
        <v>238.24</v>
      </c>
      <c r="F43" s="24" t="s">
        <v>164</v>
      </c>
      <c r="G43" s="24" t="s">
        <v>164</v>
      </c>
      <c r="H43" s="24" t="s">
        <v>164</v>
      </c>
      <c r="I43" s="24" t="s">
        <v>164</v>
      </c>
      <c r="J43" s="24" t="s">
        <v>164</v>
      </c>
      <c r="K43" s="24" t="s">
        <v>164</v>
      </c>
      <c r="L43" s="83"/>
    </row>
    <row r="44" spans="1:13" ht="12.5" hidden="1" outlineLevel="3">
      <c r="A44" s="85" t="s">
        <v>72</v>
      </c>
      <c r="B44" s="86"/>
      <c r="C44" s="24">
        <v>-128.54</v>
      </c>
      <c r="D44" s="24">
        <v>-58.862000000000002</v>
      </c>
      <c r="E44" s="24">
        <v>-128.761</v>
      </c>
      <c r="F44" s="24" t="s">
        <v>164</v>
      </c>
      <c r="G44" s="24" t="s">
        <v>164</v>
      </c>
      <c r="H44" s="24" t="s">
        <v>164</v>
      </c>
      <c r="I44" s="24" t="s">
        <v>164</v>
      </c>
      <c r="J44" s="24" t="s">
        <v>164</v>
      </c>
      <c r="K44" s="24" t="s">
        <v>164</v>
      </c>
      <c r="L44" s="83"/>
    </row>
    <row r="45" spans="1:13" ht="12.5" hidden="1" outlineLevel="2">
      <c r="A45" s="85" t="s">
        <v>73</v>
      </c>
      <c r="B45" s="86"/>
      <c r="C45" s="24">
        <v>-9.8339999999999996</v>
      </c>
      <c r="D45" s="24">
        <v>-4.1760000000000002</v>
      </c>
      <c r="E45" s="24">
        <v>-5.5259999999999998</v>
      </c>
      <c r="F45" s="24">
        <v>-6.5000000000000002E-2</v>
      </c>
      <c r="G45" s="24">
        <v>-2.274</v>
      </c>
      <c r="H45" s="24">
        <v>-3.0510000000000002</v>
      </c>
      <c r="I45" s="24">
        <v>-4.2690000000000001</v>
      </c>
      <c r="J45" s="24">
        <v>-3.9319999999999999</v>
      </c>
      <c r="K45" s="24">
        <v>-34.343000000000004</v>
      </c>
      <c r="L45" s="83"/>
    </row>
    <row r="46" spans="1:13" ht="12.5" hidden="1" outlineLevel="2">
      <c r="A46" s="85" t="s">
        <v>74</v>
      </c>
      <c r="B46" s="86"/>
      <c r="C46" s="24">
        <v>8.4369999999999994</v>
      </c>
      <c r="D46" s="24">
        <v>-2.4039999999999999</v>
      </c>
      <c r="E46" s="24">
        <v>6.8540000000000001</v>
      </c>
      <c r="F46" s="24">
        <v>-0.29299999999999998</v>
      </c>
      <c r="G46" s="24">
        <v>-7.0000000000000001E-3</v>
      </c>
      <c r="H46" s="24">
        <v>0.123</v>
      </c>
      <c r="I46" s="24">
        <v>3.5999999999999997E-2</v>
      </c>
      <c r="J46" s="24">
        <v>3.5999999999999997E-2</v>
      </c>
      <c r="K46" s="24">
        <v>-2.2730000000000001</v>
      </c>
      <c r="L46" s="83"/>
    </row>
    <row r="47" spans="1:13" ht="12.5" hidden="1" outlineLevel="2">
      <c r="A47" s="85" t="s">
        <v>75</v>
      </c>
      <c r="B47" s="86"/>
      <c r="C47" s="24">
        <v>8.2520000000000007</v>
      </c>
      <c r="D47" s="24">
        <v>11.56</v>
      </c>
      <c r="E47" s="24">
        <v>9.6780000000000008</v>
      </c>
      <c r="F47" s="24">
        <v>5.6289999999999996</v>
      </c>
      <c r="G47" s="24">
        <v>-1.6970000000000001</v>
      </c>
      <c r="H47" s="24">
        <v>-2.92</v>
      </c>
      <c r="I47" s="24">
        <v>-11.646000000000001</v>
      </c>
      <c r="J47" s="24">
        <v>-27.456</v>
      </c>
      <c r="K47" s="24">
        <v>-16.091000000000001</v>
      </c>
      <c r="L47" s="83"/>
    </row>
    <row r="48" spans="1:13" s="14" customFormat="1" ht="13" hidden="1" outlineLevel="1">
      <c r="A48" s="57" t="s">
        <v>87</v>
      </c>
      <c r="B48" s="53"/>
      <c r="C48" s="101">
        <f>IFERROR(C40+C41+C42+C45+C46+C47,"n.a.")</f>
        <v>1045.0569999999996</v>
      </c>
      <c r="D48" s="101">
        <f t="shared" ref="D48:J48" si="12">IFERROR(D40+D41+D42+D45+D46+D47,"n.a.")</f>
        <v>1117.5789999999997</v>
      </c>
      <c r="E48" s="101">
        <f t="shared" si="12"/>
        <v>1270.5620000000001</v>
      </c>
      <c r="F48" s="101">
        <f t="shared" si="12"/>
        <v>736.29099999999994</v>
      </c>
      <c r="G48" s="101">
        <f t="shared" si="12"/>
        <v>1094.2919999999999</v>
      </c>
      <c r="H48" s="101">
        <f t="shared" si="12"/>
        <v>1358.1669999999999</v>
      </c>
      <c r="I48" s="101">
        <f t="shared" si="12"/>
        <v>1396.7914171577645</v>
      </c>
      <c r="J48" s="101">
        <f t="shared" si="12"/>
        <v>1477.9763746345379</v>
      </c>
      <c r="K48" s="101">
        <f t="shared" ref="K48" si="13">IFERROR(K40+K41+K42+K45+K46+K47,"n.a.")</f>
        <v>1481.0014709479367</v>
      </c>
      <c r="M48" s="177"/>
    </row>
    <row r="49" spans="1:13" ht="12.5" hidden="1" outlineLevel="1">
      <c r="A49" s="87" t="s">
        <v>224</v>
      </c>
      <c r="B49" s="86"/>
      <c r="C49" s="24">
        <v>-41.734000000000002</v>
      </c>
      <c r="D49" s="24">
        <v>-12.914999999999999</v>
      </c>
      <c r="E49" s="24">
        <v>37.509</v>
      </c>
      <c r="F49" s="24">
        <v>64.781000000000006</v>
      </c>
      <c r="G49" s="24">
        <v>133.96299999999999</v>
      </c>
      <c r="H49" s="24">
        <v>141.28328688985508</v>
      </c>
      <c r="I49" s="24">
        <v>62.716551253114083</v>
      </c>
      <c r="J49" s="24">
        <v>69.459314721524478</v>
      </c>
      <c r="K49" s="24">
        <v>61.579649022972298</v>
      </c>
      <c r="L49" s="83"/>
    </row>
    <row r="50" spans="1:13" ht="12.5" hidden="1" outlineLevel="1">
      <c r="A50" s="87" t="s">
        <v>283</v>
      </c>
      <c r="B50" s="86"/>
      <c r="C50" s="24">
        <v>-135.5</v>
      </c>
      <c r="D50" s="24">
        <v>-119.042</v>
      </c>
      <c r="E50" s="24">
        <v>-141.98500000000001</v>
      </c>
      <c r="F50" s="24">
        <v>-90.691999999999993</v>
      </c>
      <c r="G50" s="24">
        <v>-125.634</v>
      </c>
      <c r="H50" s="24">
        <v>-205.45545425319079</v>
      </c>
      <c r="I50" s="24">
        <v>-138.98783525473061</v>
      </c>
      <c r="J50" s="24">
        <v>-158.48783559427511</v>
      </c>
      <c r="K50" s="24">
        <v>-154.24049470268901</v>
      </c>
      <c r="L50" s="83"/>
    </row>
    <row r="51" spans="1:13" ht="12.5" hidden="1" outlineLevel="1">
      <c r="A51" s="87" t="s">
        <v>77</v>
      </c>
      <c r="B51" s="86"/>
      <c r="C51" s="24">
        <v>-109.76808642764956</v>
      </c>
      <c r="D51" s="24">
        <v>-199.91900000000001</v>
      </c>
      <c r="E51" s="24">
        <v>28.3</v>
      </c>
      <c r="F51" s="24">
        <v>140.64500000000001</v>
      </c>
      <c r="G51" s="24">
        <v>-222.495</v>
      </c>
      <c r="H51" s="24">
        <v>-342.32219752160574</v>
      </c>
      <c r="I51" s="24">
        <v>29.276851036494307</v>
      </c>
      <c r="J51" s="24">
        <v>-132.47914546193863</v>
      </c>
      <c r="K51" s="24">
        <v>-86.521378234385395</v>
      </c>
      <c r="L51" s="83"/>
    </row>
    <row r="52" spans="1:13" ht="12.5" hidden="1" outlineLevel="1">
      <c r="A52" s="87" t="s">
        <v>78</v>
      </c>
      <c r="B52" s="86"/>
      <c r="C52" s="24">
        <v>73.644000000000005</v>
      </c>
      <c r="D52" s="24">
        <v>-23.388000000000002</v>
      </c>
      <c r="E52" s="24">
        <v>-44.637</v>
      </c>
      <c r="F52" s="24">
        <v>-35.323999999999998</v>
      </c>
      <c r="G52" s="24">
        <v>-51.351999999999997</v>
      </c>
      <c r="H52" s="24">
        <v>37.375854999999923</v>
      </c>
      <c r="I52" s="24">
        <v>-51.466843999999945</v>
      </c>
      <c r="J52" s="24">
        <v>2.5195156362844395</v>
      </c>
      <c r="K52" s="24">
        <v>-36.5394892638977</v>
      </c>
      <c r="L52" s="83"/>
    </row>
    <row r="53" spans="1:13" ht="12.5" hidden="1" outlineLevel="1">
      <c r="A53" s="87" t="s">
        <v>79</v>
      </c>
      <c r="B53" s="86"/>
      <c r="C53" s="24">
        <v>447.38499999999999</v>
      </c>
      <c r="D53" s="24">
        <v>104.663</v>
      </c>
      <c r="E53" s="24">
        <v>18.815000000000001</v>
      </c>
      <c r="F53" s="24">
        <v>-184.60400000000001</v>
      </c>
      <c r="G53" s="24">
        <v>214.512</v>
      </c>
      <c r="H53" s="24">
        <v>272.84186700000004</v>
      </c>
      <c r="I53" s="24">
        <v>132.7285939999999</v>
      </c>
      <c r="J53" s="24">
        <v>119.25473470641073</v>
      </c>
      <c r="K53" s="24">
        <v>69.951989220462195</v>
      </c>
      <c r="L53" s="83"/>
    </row>
    <row r="54" spans="1:13" ht="12.5" hidden="1" outlineLevel="1">
      <c r="A54" s="87" t="s">
        <v>80</v>
      </c>
      <c r="B54" s="86"/>
      <c r="C54" s="24">
        <v>-39.423000000000002</v>
      </c>
      <c r="D54" s="24">
        <v>-151.42500000000001</v>
      </c>
      <c r="E54" s="51">
        <f t="shared" ref="E54:J54" si="14">IFERROR(E55+E56,"n.a.")</f>
        <v>-79.606999999999999</v>
      </c>
      <c r="F54" s="51">
        <f t="shared" si="14"/>
        <v>82.480999999999995</v>
      </c>
      <c r="G54" s="51">
        <f t="shared" si="14"/>
        <v>-35.350999999999999</v>
      </c>
      <c r="H54" s="51">
        <f t="shared" si="14"/>
        <v>-22.602629570575285</v>
      </c>
      <c r="I54" s="51">
        <f t="shared" si="14"/>
        <v>-36.488156644216602</v>
      </c>
      <c r="J54" s="51">
        <f t="shared" si="14"/>
        <v>-42.87329322944607</v>
      </c>
      <c r="K54" s="51">
        <f t="shared" ref="K54" si="15">IFERROR(K55+K56,"n.a.")</f>
        <v>6.2912499283999779E-2</v>
      </c>
      <c r="L54" s="83"/>
    </row>
    <row r="55" spans="1:13" ht="12.5" hidden="1" outlineLevel="2">
      <c r="A55" s="85" t="s">
        <v>264</v>
      </c>
      <c r="B55" s="86"/>
      <c r="C55" s="24" t="s">
        <v>164</v>
      </c>
      <c r="D55" s="24" t="s">
        <v>164</v>
      </c>
      <c r="E55" s="24">
        <v>-32.161000000000001</v>
      </c>
      <c r="F55" s="24">
        <v>21.925999999999998</v>
      </c>
      <c r="G55" s="24">
        <v>23.745000000000001</v>
      </c>
      <c r="H55" s="24">
        <v>-50.502466804980344</v>
      </c>
      <c r="I55" s="24">
        <v>-23.962532374542103</v>
      </c>
      <c r="J55" s="24">
        <v>-43.978016499776629</v>
      </c>
      <c r="K55" s="24">
        <v>26.603890287584701</v>
      </c>
      <c r="L55" s="83"/>
    </row>
    <row r="56" spans="1:13" ht="12.5" hidden="1" outlineLevel="2">
      <c r="A56" s="85" t="s">
        <v>265</v>
      </c>
      <c r="B56" s="86"/>
      <c r="C56" s="24" t="s">
        <v>164</v>
      </c>
      <c r="D56" s="24" t="s">
        <v>164</v>
      </c>
      <c r="E56" s="24">
        <v>-47.445999999999998</v>
      </c>
      <c r="F56" s="24">
        <v>60.555</v>
      </c>
      <c r="G56" s="24">
        <v>-59.095999999999997</v>
      </c>
      <c r="H56" s="24">
        <v>27.899837234405059</v>
      </c>
      <c r="I56" s="24">
        <v>-12.5256242696745</v>
      </c>
      <c r="J56" s="24">
        <v>1.1047232703305563</v>
      </c>
      <c r="K56" s="24">
        <v>-26.540977788300701</v>
      </c>
      <c r="L56" s="83"/>
    </row>
    <row r="57" spans="1:13" ht="12.5" hidden="1" outlineLevel="1">
      <c r="A57" s="87" t="s">
        <v>236</v>
      </c>
      <c r="B57" s="86"/>
      <c r="C57" s="24">
        <v>-102.01</v>
      </c>
      <c r="D57" s="24">
        <v>-57.226999999999997</v>
      </c>
      <c r="E57" s="51">
        <f t="shared" ref="E57:J57" si="16">IFERROR(E58+E59,"n.a.")</f>
        <v>-66.254999999999995</v>
      </c>
      <c r="F57" s="51">
        <f t="shared" si="16"/>
        <v>-95.225999999999999</v>
      </c>
      <c r="G57" s="51">
        <f t="shared" si="16"/>
        <v>-88.814999999999998</v>
      </c>
      <c r="H57" s="51">
        <f t="shared" si="16"/>
        <v>-107.6478440551537</v>
      </c>
      <c r="I57" s="51">
        <f t="shared" si="16"/>
        <v>-34.707777165774232</v>
      </c>
      <c r="J57" s="51">
        <f t="shared" si="16"/>
        <v>-42.770026743261134</v>
      </c>
      <c r="K57" s="51">
        <f t="shared" ref="K57" si="17">IFERROR(K58+K59,"n.a.")</f>
        <v>-29.490524879785998</v>
      </c>
      <c r="L57" s="83"/>
    </row>
    <row r="58" spans="1:13" ht="12.5" hidden="1" outlineLevel="2">
      <c r="A58" s="85" t="s">
        <v>266</v>
      </c>
      <c r="B58" s="86"/>
      <c r="C58" s="24" t="s">
        <v>164</v>
      </c>
      <c r="D58" s="24" t="s">
        <v>164</v>
      </c>
      <c r="E58" s="24">
        <v>-43.029000000000003</v>
      </c>
      <c r="F58" s="24">
        <v>-37.173000000000002</v>
      </c>
      <c r="G58" s="24">
        <v>-48.750999999999998</v>
      </c>
      <c r="H58" s="24">
        <v>-89.471391055153703</v>
      </c>
      <c r="I58" s="24">
        <v>-16.633563565774232</v>
      </c>
      <c r="J58" s="24">
        <v>-18.977799047871493</v>
      </c>
      <c r="K58" s="24">
        <v>-5.4194758797859999</v>
      </c>
      <c r="L58" s="83"/>
    </row>
    <row r="59" spans="1:13" ht="12.5" hidden="1" outlineLevel="2">
      <c r="A59" s="85" t="s">
        <v>267</v>
      </c>
      <c r="B59" s="86"/>
      <c r="C59" s="24" t="s">
        <v>164</v>
      </c>
      <c r="D59" s="24" t="s">
        <v>164</v>
      </c>
      <c r="E59" s="24">
        <v>-23.225999999999999</v>
      </c>
      <c r="F59" s="24">
        <v>-58.052999999999997</v>
      </c>
      <c r="G59" s="24">
        <v>-40.064</v>
      </c>
      <c r="H59" s="24">
        <v>-18.176452999999992</v>
      </c>
      <c r="I59" s="24">
        <v>-18.0742136</v>
      </c>
      <c r="J59" s="24">
        <v>-23.792227695389641</v>
      </c>
      <c r="K59" s="24">
        <v>-24.071048999999999</v>
      </c>
      <c r="L59" s="83"/>
    </row>
    <row r="60" spans="1:13" s="14" customFormat="1" ht="13" collapsed="1">
      <c r="A60" s="79" t="s">
        <v>88</v>
      </c>
      <c r="B60" s="79"/>
      <c r="C60" s="26">
        <f t="shared" ref="C60:E60" si="18">IFERROR(C48+C49+C50+C51+C52+C53+C54+C57,"n.a.")</f>
        <v>1137.65091357235</v>
      </c>
      <c r="D60" s="26">
        <f t="shared" si="18"/>
        <v>658.32599999999968</v>
      </c>
      <c r="E60" s="26">
        <f t="shared" si="18"/>
        <v>1022.7020000000003</v>
      </c>
      <c r="F60" s="26">
        <f t="shared" ref="F60:J60" si="19">IFERROR(F48+F49+F50+F51+F52+F53+F54+F57,"n.a.")</f>
        <v>618.35199999999986</v>
      </c>
      <c r="G60" s="26">
        <f t="shared" si="19"/>
        <v>919.11999999999989</v>
      </c>
      <c r="H60" s="26">
        <f t="shared" si="19"/>
        <v>1131.6398834893296</v>
      </c>
      <c r="I60" s="26">
        <f t="shared" si="19"/>
        <v>1359.8628003826514</v>
      </c>
      <c r="J60" s="26">
        <f t="shared" si="19"/>
        <v>1292.5996386698366</v>
      </c>
      <c r="K60" s="26">
        <f>IFERROR(K48+K49+K50+K51+K52+K53+K54+K57,"n.a.")</f>
        <v>1305.8041346098971</v>
      </c>
      <c r="M60" s="177"/>
    </row>
    <row r="61" spans="1:13" ht="12.5">
      <c r="C61" s="88"/>
      <c r="D61" s="88"/>
      <c r="E61" s="88"/>
      <c r="F61" s="88"/>
      <c r="G61" s="88"/>
      <c r="H61" s="88"/>
      <c r="I61" s="88"/>
      <c r="J61" s="88"/>
      <c r="K61" s="88"/>
      <c r="L61" s="83"/>
    </row>
    <row r="62" spans="1:13" ht="12.5" hidden="1" outlineLevel="1">
      <c r="A62" s="90" t="s">
        <v>237</v>
      </c>
      <c r="B62" s="84"/>
      <c r="C62" s="23">
        <v>-470.38299999999998</v>
      </c>
      <c r="D62" s="23">
        <v>-451.80099999999999</v>
      </c>
      <c r="E62" s="23">
        <v>-369.69900000000001</v>
      </c>
      <c r="F62" s="23">
        <v>-124.508</v>
      </c>
      <c r="G62" s="23">
        <v>-314.97500000000002</v>
      </c>
      <c r="H62" s="23">
        <v>-365.81299999999999</v>
      </c>
      <c r="I62" s="23">
        <v>-384.07665945962418</v>
      </c>
      <c r="J62" s="23">
        <v>-387.3034040372188</v>
      </c>
      <c r="K62" s="23">
        <v>-394.11599999999999</v>
      </c>
      <c r="L62" s="83"/>
    </row>
    <row r="63" spans="1:13" ht="12.5" hidden="1" outlineLevel="1">
      <c r="A63" s="90" t="s">
        <v>238</v>
      </c>
      <c r="B63" s="84"/>
      <c r="C63" s="23">
        <v>0</v>
      </c>
      <c r="D63" s="23">
        <v>-6.2910000000000004</v>
      </c>
      <c r="E63" s="23">
        <v>3.7639999999999998</v>
      </c>
      <c r="F63" s="23">
        <v>-53.371000000000002</v>
      </c>
      <c r="G63" s="23">
        <v>58.883000000000003</v>
      </c>
      <c r="H63" s="23">
        <v>62.322000000000003</v>
      </c>
      <c r="I63" s="23">
        <v>6.6634644596237536</v>
      </c>
      <c r="J63" s="23">
        <v>11.231999999999999</v>
      </c>
      <c r="K63" s="23">
        <v>41.83</v>
      </c>
      <c r="L63" s="83"/>
    </row>
    <row r="64" spans="1:13" ht="12.5" hidden="1" outlineLevel="1">
      <c r="A64" s="87" t="s">
        <v>268</v>
      </c>
      <c r="B64" s="86"/>
      <c r="C64" s="24">
        <v>73.504999999999995</v>
      </c>
      <c r="D64" s="24">
        <v>16.222999999999999</v>
      </c>
      <c r="E64" s="51">
        <f t="shared" ref="E64:K64" si="20">IFERROR(E65+E66,"n.a.")</f>
        <v>7.6609999999999996</v>
      </c>
      <c r="F64" s="51">
        <f t="shared" si="20"/>
        <v>5.6840000000000002</v>
      </c>
      <c r="G64" s="51">
        <f t="shared" si="20"/>
        <v>8.777000000000001</v>
      </c>
      <c r="H64" s="51">
        <f t="shared" si="20"/>
        <v>4.3747880000000006</v>
      </c>
      <c r="I64" s="51">
        <f t="shared" si="20"/>
        <v>2.206639</v>
      </c>
      <c r="J64" s="51">
        <f t="shared" si="20"/>
        <v>2.2371829999999964</v>
      </c>
      <c r="K64" s="51">
        <f t="shared" si="20"/>
        <v>3.259296</v>
      </c>
      <c r="L64" s="83"/>
    </row>
    <row r="65" spans="1:13" ht="12.5" hidden="1" outlineLevel="2">
      <c r="A65" s="85" t="s">
        <v>269</v>
      </c>
      <c r="B65" s="86"/>
      <c r="C65" s="24" t="s">
        <v>164</v>
      </c>
      <c r="D65" s="24" t="s">
        <v>164</v>
      </c>
      <c r="E65" s="24">
        <v>7.6459999999999999</v>
      </c>
      <c r="F65" s="24">
        <v>5.4050000000000002</v>
      </c>
      <c r="G65" s="24">
        <v>8.5340000000000007</v>
      </c>
      <c r="H65" s="24">
        <v>4.0981680000000003</v>
      </c>
      <c r="I65" s="24">
        <v>2.206639</v>
      </c>
      <c r="J65" s="24">
        <v>2.2331829999999964</v>
      </c>
      <c r="K65" s="24">
        <v>3.259296</v>
      </c>
      <c r="L65" s="130"/>
    </row>
    <row r="66" spans="1:13" ht="12.5" hidden="1" outlineLevel="2">
      <c r="A66" s="85" t="s">
        <v>270</v>
      </c>
      <c r="B66" s="86"/>
      <c r="C66" s="24" t="s">
        <v>164</v>
      </c>
      <c r="D66" s="24" t="s">
        <v>164</v>
      </c>
      <c r="E66" s="24">
        <v>1.4999999999999999E-2</v>
      </c>
      <c r="F66" s="24">
        <v>0.27900000000000003</v>
      </c>
      <c r="G66" s="24">
        <v>0.24299999999999999</v>
      </c>
      <c r="H66" s="24">
        <v>0.27661999999999998</v>
      </c>
      <c r="I66" s="24">
        <v>0</v>
      </c>
      <c r="J66" s="24">
        <v>4.0000000000000001E-3</v>
      </c>
      <c r="K66" s="24">
        <v>0</v>
      </c>
      <c r="L66" s="130"/>
    </row>
    <row r="67" spans="1:13" ht="12.5" hidden="1" outlineLevel="1">
      <c r="A67" s="87" t="s">
        <v>81</v>
      </c>
      <c r="B67" s="86"/>
      <c r="C67" s="24">
        <v>-18.969000000000001</v>
      </c>
      <c r="D67" s="24">
        <v>-11.64</v>
      </c>
      <c r="E67" s="24">
        <v>-20.812000000000001</v>
      </c>
      <c r="F67" s="24">
        <v>-15.526999999999999</v>
      </c>
      <c r="G67" s="24">
        <v>-30.579000000000001</v>
      </c>
      <c r="H67" s="24">
        <v>-31.912368310920559</v>
      </c>
      <c r="I67" s="24">
        <v>-21.623340540375825</v>
      </c>
      <c r="J67" s="24">
        <v>-27.596595962781183</v>
      </c>
      <c r="K67" s="24">
        <v>-25.5804688427637</v>
      </c>
      <c r="L67" s="130"/>
    </row>
    <row r="68" spans="1:13" ht="12.5" hidden="1" outlineLevel="1">
      <c r="A68" s="87" t="s">
        <v>226</v>
      </c>
      <c r="B68" s="86"/>
      <c r="C68" s="24">
        <v>8.5559999999999992</v>
      </c>
      <c r="D68" s="24">
        <v>2.6739999999999999</v>
      </c>
      <c r="E68" s="24">
        <v>0</v>
      </c>
      <c r="F68" s="24">
        <v>0</v>
      </c>
      <c r="G68" s="24">
        <v>0</v>
      </c>
      <c r="H68" s="24">
        <v>0</v>
      </c>
      <c r="I68" s="24">
        <v>0</v>
      </c>
      <c r="J68" s="24">
        <v>9.65</v>
      </c>
      <c r="K68" s="24">
        <v>0</v>
      </c>
      <c r="L68" s="83"/>
    </row>
    <row r="69" spans="1:13" ht="12.5" hidden="1" outlineLevel="1">
      <c r="A69" s="87" t="s">
        <v>284</v>
      </c>
      <c r="B69" s="86"/>
      <c r="C69" s="24">
        <v>-15.638999999999999</v>
      </c>
      <c r="D69" s="24">
        <v>0</v>
      </c>
      <c r="E69" s="24">
        <v>10.7</v>
      </c>
      <c r="F69" s="24">
        <v>6.9000000000000006E-2</v>
      </c>
      <c r="G69" s="24">
        <v>4.407</v>
      </c>
      <c r="H69" s="24">
        <v>0</v>
      </c>
      <c r="I69" s="24">
        <v>0</v>
      </c>
      <c r="J69" s="24">
        <v>-20.268000000000001</v>
      </c>
      <c r="K69" s="24">
        <f>-3.821699+19.233</f>
        <v>15.411301</v>
      </c>
      <c r="L69" s="83"/>
    </row>
    <row r="70" spans="1:13" ht="12.5" hidden="1" outlineLevel="1">
      <c r="A70" s="87" t="s">
        <v>227</v>
      </c>
      <c r="B70" s="86"/>
      <c r="C70" s="24">
        <v>0</v>
      </c>
      <c r="D70" s="24">
        <v>-49.722000000000001</v>
      </c>
      <c r="E70" s="24">
        <v>0</v>
      </c>
      <c r="F70" s="24">
        <v>0</v>
      </c>
      <c r="G70" s="24">
        <v>0</v>
      </c>
      <c r="H70" s="24">
        <v>0</v>
      </c>
      <c r="I70" s="24">
        <v>0</v>
      </c>
      <c r="J70" s="24">
        <v>0</v>
      </c>
      <c r="K70" s="24">
        <v>0</v>
      </c>
      <c r="L70" s="83"/>
    </row>
    <row r="71" spans="1:13" ht="12.5" hidden="1" outlineLevel="1">
      <c r="A71" s="87" t="s">
        <v>82</v>
      </c>
      <c r="B71" s="86"/>
      <c r="C71" s="24">
        <v>17.183</v>
      </c>
      <c r="D71" s="24">
        <v>-65.221999999999994</v>
      </c>
      <c r="E71" s="24">
        <v>-8.9250000000000007</v>
      </c>
      <c r="F71" s="24">
        <v>0</v>
      </c>
      <c r="G71" s="24">
        <v>0</v>
      </c>
      <c r="H71" s="24">
        <v>1.33</v>
      </c>
      <c r="I71" s="24">
        <v>0</v>
      </c>
      <c r="J71" s="24">
        <v>-12.071</v>
      </c>
      <c r="K71" s="24">
        <v>-21.033999999999999</v>
      </c>
      <c r="L71" s="83"/>
    </row>
    <row r="72" spans="1:13" ht="12.5" hidden="1" outlineLevel="1">
      <c r="A72" s="87" t="s">
        <v>228</v>
      </c>
      <c r="B72" s="86"/>
      <c r="C72" s="24">
        <v>-2.4649999999999999</v>
      </c>
      <c r="D72" s="24">
        <v>152.80799999999999</v>
      </c>
      <c r="E72" s="24">
        <v>0</v>
      </c>
      <c r="F72" s="24">
        <v>0</v>
      </c>
      <c r="G72" s="24">
        <v>0</v>
      </c>
      <c r="H72" s="24">
        <v>0</v>
      </c>
      <c r="I72" s="24">
        <v>0</v>
      </c>
      <c r="J72" s="24">
        <v>0</v>
      </c>
      <c r="K72" s="24">
        <v>0</v>
      </c>
      <c r="L72" s="83"/>
    </row>
    <row r="73" spans="1:13" ht="12.5" hidden="1" outlineLevel="1">
      <c r="A73" s="87" t="s">
        <v>279</v>
      </c>
      <c r="B73" s="86"/>
      <c r="C73" s="24">
        <v>0</v>
      </c>
      <c r="D73" s="24">
        <v>0</v>
      </c>
      <c r="E73" s="24">
        <v>0</v>
      </c>
      <c r="F73" s="24">
        <v>0</v>
      </c>
      <c r="G73" s="24">
        <v>-0.45</v>
      </c>
      <c r="H73" s="24">
        <v>0</v>
      </c>
      <c r="I73" s="24">
        <v>0</v>
      </c>
      <c r="J73" s="24">
        <v>-0.55500000000000005</v>
      </c>
      <c r="K73" s="24">
        <v>12.176</v>
      </c>
      <c r="L73" s="83"/>
    </row>
    <row r="74" spans="1:13" ht="12.5" hidden="1" outlineLevel="1">
      <c r="A74" s="87" t="s">
        <v>196</v>
      </c>
      <c r="B74" s="86"/>
      <c r="C74" s="24">
        <v>0</v>
      </c>
      <c r="D74" s="24">
        <v>-1.393</v>
      </c>
      <c r="E74" s="24">
        <v>0</v>
      </c>
      <c r="F74" s="24">
        <v>0</v>
      </c>
      <c r="G74" s="24">
        <v>0</v>
      </c>
      <c r="H74" s="24">
        <v>0</v>
      </c>
      <c r="I74" s="24">
        <v>0</v>
      </c>
      <c r="J74" s="24">
        <v>0</v>
      </c>
      <c r="K74" s="24">
        <v>0</v>
      </c>
      <c r="L74" s="83"/>
    </row>
    <row r="75" spans="1:13" ht="12.5" hidden="1" outlineLevel="1">
      <c r="A75" s="87" t="s">
        <v>260</v>
      </c>
      <c r="B75" s="86"/>
      <c r="C75" s="51">
        <f t="shared" ref="C75:E75" si="21">IFERROR(C76+C77,"n.a.")</f>
        <v>9.8339999999999996</v>
      </c>
      <c r="D75" s="51">
        <f t="shared" si="21"/>
        <v>4.1760000000000002</v>
      </c>
      <c r="E75" s="51">
        <f t="shared" si="21"/>
        <v>14.956</v>
      </c>
      <c r="F75" s="24">
        <v>6.5000000000000002E-2</v>
      </c>
      <c r="G75" s="24">
        <v>2.274</v>
      </c>
      <c r="H75" s="24">
        <v>3.23</v>
      </c>
      <c r="I75" s="24">
        <v>4.2690000000000001</v>
      </c>
      <c r="J75" s="24">
        <v>3.9319999999999999</v>
      </c>
      <c r="K75" s="24">
        <v>34.343000000000004</v>
      </c>
      <c r="L75" s="83"/>
    </row>
    <row r="76" spans="1:13" ht="12.5" hidden="1" outlineLevel="2">
      <c r="A76" s="85" t="s">
        <v>229</v>
      </c>
      <c r="B76" s="86"/>
      <c r="C76" s="24">
        <v>0</v>
      </c>
      <c r="D76" s="24">
        <v>0</v>
      </c>
      <c r="E76" s="24">
        <v>9.43</v>
      </c>
      <c r="F76" s="24" t="s">
        <v>164</v>
      </c>
      <c r="G76" s="24" t="s">
        <v>164</v>
      </c>
      <c r="H76" s="24" t="s">
        <v>164</v>
      </c>
      <c r="I76" s="24" t="s">
        <v>164</v>
      </c>
      <c r="J76" s="24" t="s">
        <v>164</v>
      </c>
      <c r="K76" s="24" t="s">
        <v>164</v>
      </c>
      <c r="L76" s="83"/>
    </row>
    <row r="77" spans="1:13" ht="12.5" hidden="1" outlineLevel="2">
      <c r="A77" s="85" t="s">
        <v>171</v>
      </c>
      <c r="B77" s="86"/>
      <c r="C77" s="24">
        <v>9.8339999999999996</v>
      </c>
      <c r="D77" s="24">
        <v>4.1760000000000002</v>
      </c>
      <c r="E77" s="24">
        <v>5.5259999999999998</v>
      </c>
      <c r="F77" s="24" t="s">
        <v>164</v>
      </c>
      <c r="G77" s="24" t="s">
        <v>164</v>
      </c>
      <c r="H77" s="24" t="s">
        <v>164</v>
      </c>
      <c r="I77" s="24" t="s">
        <v>164</v>
      </c>
      <c r="J77" s="24" t="s">
        <v>164</v>
      </c>
      <c r="K77" s="24" t="s">
        <v>164</v>
      </c>
      <c r="L77" s="83"/>
    </row>
    <row r="78" spans="1:13" ht="12.5" hidden="1" outlineLevel="1">
      <c r="A78" s="87" t="s">
        <v>285</v>
      </c>
      <c r="B78" s="86"/>
      <c r="C78" s="24">
        <v>0</v>
      </c>
      <c r="D78" s="24">
        <v>0</v>
      </c>
      <c r="E78" s="24">
        <v>-13.42</v>
      </c>
      <c r="F78" s="24">
        <v>-64.093000000000004</v>
      </c>
      <c r="G78" s="24">
        <v>15.272</v>
      </c>
      <c r="H78" s="24">
        <v>-0.15016399999999999</v>
      </c>
      <c r="I78" s="24">
        <v>-0.29937200000000003</v>
      </c>
      <c r="J78" s="24">
        <v>-0.51346100000000006</v>
      </c>
      <c r="K78" s="24">
        <v>-26.577912999999999</v>
      </c>
      <c r="L78" s="83"/>
    </row>
    <row r="79" spans="1:13" s="14" customFormat="1" ht="13" collapsed="1">
      <c r="A79" s="79" t="s">
        <v>89</v>
      </c>
      <c r="B79" s="79"/>
      <c r="C79" s="26">
        <f t="shared" ref="C79:J79" si="22">IFERROR(C62+C63+C64+C67+C68+C69+C70+C71+C72+C73+C74+C75+C78,"n.a.")</f>
        <v>-398.37799999999999</v>
      </c>
      <c r="D79" s="26">
        <f t="shared" si="22"/>
        <v>-410.18799999999999</v>
      </c>
      <c r="E79" s="26">
        <f t="shared" si="22"/>
        <v>-375.77500000000003</v>
      </c>
      <c r="F79" s="26">
        <f t="shared" si="22"/>
        <v>-251.68099999999998</v>
      </c>
      <c r="G79" s="26">
        <f t="shared" si="22"/>
        <v>-256.39100000000008</v>
      </c>
      <c r="H79" s="26">
        <f t="shared" si="22"/>
        <v>-326.61874431092053</v>
      </c>
      <c r="I79" s="26">
        <f t="shared" si="22"/>
        <v>-392.86026854037624</v>
      </c>
      <c r="J79" s="26">
        <f t="shared" si="22"/>
        <v>-421.25627800000001</v>
      </c>
      <c r="K79" s="26">
        <f>IFERROR(K62+K63+K64+K67+K68+K69+K70+K71+K72+K73+K74+K75+K78,"n.a.")</f>
        <v>-360.28878484276373</v>
      </c>
      <c r="M79" s="177"/>
    </row>
    <row r="80" spans="1:13" ht="12.5">
      <c r="C80" s="88"/>
      <c r="D80" s="88"/>
      <c r="E80" s="88"/>
      <c r="F80" s="88"/>
      <c r="G80" s="88"/>
      <c r="H80" s="88"/>
      <c r="I80" s="88"/>
      <c r="J80" s="88"/>
      <c r="K80" s="88"/>
      <c r="L80" s="83"/>
    </row>
    <row r="81" spans="1:13" ht="12.5" hidden="1" outlineLevel="1">
      <c r="A81" s="90" t="s">
        <v>258</v>
      </c>
      <c r="B81" s="84"/>
      <c r="C81" s="23" t="s">
        <v>164</v>
      </c>
      <c r="D81" s="23" t="s">
        <v>164</v>
      </c>
      <c r="E81" s="23">
        <v>1706.4570000000001</v>
      </c>
      <c r="F81" s="23">
        <v>2577.1819999999998</v>
      </c>
      <c r="G81" s="23">
        <v>886.24199999999996</v>
      </c>
      <c r="H81" s="23">
        <v>1324.0667628483423</v>
      </c>
      <c r="I81" s="23">
        <v>1127.7522609015336</v>
      </c>
      <c r="J81" s="23">
        <v>1366.4766348670712</v>
      </c>
      <c r="K81" s="23">
        <v>138.07856393156001</v>
      </c>
      <c r="L81" s="83"/>
    </row>
    <row r="82" spans="1:13" ht="12.5" hidden="1" outlineLevel="1">
      <c r="A82" s="90" t="s">
        <v>259</v>
      </c>
      <c r="B82" s="84"/>
      <c r="C82" s="23" t="s">
        <v>164</v>
      </c>
      <c r="D82" s="23" t="s">
        <v>164</v>
      </c>
      <c r="E82" s="23">
        <v>-1623.3409999999999</v>
      </c>
      <c r="F82" s="23">
        <v>-1806.69</v>
      </c>
      <c r="G82" s="23">
        <v>-1649.4480000000001</v>
      </c>
      <c r="H82" s="23">
        <v>-2113.8297285326016</v>
      </c>
      <c r="I82" s="23">
        <v>-1634.19543134696</v>
      </c>
      <c r="J82" s="23">
        <v>-1497.8028702927702</v>
      </c>
      <c r="K82" s="23">
        <v>-528.77322609432997</v>
      </c>
      <c r="L82" s="83"/>
    </row>
    <row r="83" spans="1:13" ht="12.5" hidden="1" outlineLevel="1">
      <c r="A83" s="90" t="s">
        <v>83</v>
      </c>
      <c r="B83" s="84"/>
      <c r="C83" s="23">
        <v>1189.375</v>
      </c>
      <c r="D83" s="23">
        <v>0</v>
      </c>
      <c r="E83" s="23">
        <v>0</v>
      </c>
      <c r="F83" s="23">
        <v>0</v>
      </c>
      <c r="G83" s="23">
        <v>0</v>
      </c>
      <c r="H83" s="23">
        <v>0</v>
      </c>
      <c r="I83" s="23">
        <v>0</v>
      </c>
      <c r="J83" s="23">
        <v>0</v>
      </c>
      <c r="K83" s="23">
        <v>0</v>
      </c>
      <c r="L83" s="83"/>
    </row>
    <row r="84" spans="1:13" ht="12.5" hidden="1" outlineLevel="1">
      <c r="A84" s="87" t="s">
        <v>85</v>
      </c>
      <c r="B84" s="86"/>
      <c r="C84" s="24">
        <v>-2060.3040000000001</v>
      </c>
      <c r="D84" s="24">
        <v>168.952</v>
      </c>
      <c r="E84" s="24">
        <v>0</v>
      </c>
      <c r="F84" s="24">
        <v>0</v>
      </c>
      <c r="G84" s="24">
        <v>0</v>
      </c>
      <c r="H84" s="24">
        <v>0</v>
      </c>
      <c r="I84" s="24">
        <v>0</v>
      </c>
      <c r="J84" s="24">
        <v>0</v>
      </c>
      <c r="K84" s="24">
        <v>0</v>
      </c>
      <c r="L84" s="83"/>
    </row>
    <row r="85" spans="1:13" ht="12.5" hidden="1" outlineLevel="1">
      <c r="A85" s="87" t="s">
        <v>189</v>
      </c>
      <c r="B85" s="86"/>
      <c r="C85" s="24">
        <v>218.03700000000001</v>
      </c>
      <c r="D85" s="24">
        <v>-31.760999999999999</v>
      </c>
      <c r="E85" s="24">
        <v>-41.715000000000003</v>
      </c>
      <c r="F85" s="24">
        <v>-192.666</v>
      </c>
      <c r="G85" s="24">
        <v>-21.079000000000001</v>
      </c>
      <c r="H85" s="24">
        <v>-141.76063800000003</v>
      </c>
      <c r="I85" s="24">
        <v>212.59646600000002</v>
      </c>
      <c r="J85" s="24">
        <v>60.127695463689257</v>
      </c>
      <c r="K85" s="24">
        <v>42.702435063692398</v>
      </c>
      <c r="L85" s="83"/>
    </row>
    <row r="86" spans="1:13" ht="12.5" hidden="1" outlineLevel="1">
      <c r="A86" s="87" t="s">
        <v>90</v>
      </c>
      <c r="B86" s="86"/>
      <c r="C86" s="24">
        <v>-280.83199999999999</v>
      </c>
      <c r="D86" s="24">
        <v>-168.40600000000001</v>
      </c>
      <c r="E86" s="24">
        <v>-85.537000000000006</v>
      </c>
      <c r="F86" s="24">
        <v>-38.503999999999998</v>
      </c>
      <c r="G86" s="24">
        <v>-115.071</v>
      </c>
      <c r="H86" s="24">
        <v>-173.26081536742143</v>
      </c>
      <c r="I86" s="24">
        <v>-342.41022254586164</v>
      </c>
      <c r="J86" s="24">
        <v>-206.17330752338049</v>
      </c>
      <c r="K86" s="24">
        <v>-151.56762151433</v>
      </c>
      <c r="L86" s="83"/>
    </row>
    <row r="87" spans="1:13" ht="12.5" hidden="1" outlineLevel="1">
      <c r="A87" s="87" t="s">
        <v>86</v>
      </c>
      <c r="B87" s="86"/>
      <c r="C87" s="24">
        <v>-12.742000000000001</v>
      </c>
      <c r="D87" s="24">
        <v>-8.3659999999999997</v>
      </c>
      <c r="E87" s="24">
        <v>-185.768</v>
      </c>
      <c r="F87" s="24">
        <v>0</v>
      </c>
      <c r="G87" s="24">
        <v>-79.935000000000002</v>
      </c>
      <c r="H87" s="24">
        <v>-185.39500000000001</v>
      </c>
      <c r="I87" s="24">
        <v>-222.87100000000001</v>
      </c>
      <c r="J87" s="24">
        <v>-204.4</v>
      </c>
      <c r="K87" s="24">
        <v>-259.096</v>
      </c>
      <c r="L87" s="83"/>
    </row>
    <row r="88" spans="1:13" ht="12.5" hidden="1" outlineLevel="1">
      <c r="A88" s="87" t="s">
        <v>274</v>
      </c>
      <c r="B88" s="86"/>
      <c r="C88" s="24">
        <v>0</v>
      </c>
      <c r="D88" s="24">
        <v>0</v>
      </c>
      <c r="E88" s="24">
        <v>-101.157</v>
      </c>
      <c r="F88" s="24">
        <v>-99.924000000000007</v>
      </c>
      <c r="G88" s="24">
        <v>-105.355</v>
      </c>
      <c r="H88" s="24">
        <v>-114.5125238039858</v>
      </c>
      <c r="I88" s="24">
        <v>-120.45524254560056</v>
      </c>
      <c r="J88" s="24">
        <v>-128.92923479689657</v>
      </c>
      <c r="K88" s="24">
        <v>-129.44596459579799</v>
      </c>
      <c r="L88" s="83"/>
    </row>
    <row r="89" spans="1:13" ht="12.5" hidden="1" outlineLevel="1">
      <c r="A89" s="87" t="s">
        <v>230</v>
      </c>
      <c r="B89" s="86"/>
      <c r="C89" s="24">
        <v>0</v>
      </c>
      <c r="D89" s="24">
        <v>4.5</v>
      </c>
      <c r="E89" s="24">
        <v>0</v>
      </c>
      <c r="F89" s="24">
        <v>0</v>
      </c>
      <c r="G89" s="24">
        <v>0</v>
      </c>
      <c r="H89" s="24">
        <v>0</v>
      </c>
      <c r="I89" s="24">
        <v>0</v>
      </c>
      <c r="J89" s="24">
        <v>0</v>
      </c>
      <c r="K89" s="24">
        <v>0</v>
      </c>
      <c r="L89" s="83"/>
    </row>
    <row r="90" spans="1:13" s="14" customFormat="1" ht="13" collapsed="1">
      <c r="A90" s="79" t="s">
        <v>91</v>
      </c>
      <c r="B90" s="79"/>
      <c r="C90" s="26">
        <f>IFERROR(C83+C84+C85+C86+C87+C88+C89,"n.a.")</f>
        <v>-946.46600000000001</v>
      </c>
      <c r="D90" s="26">
        <f>IFERROR(D83+D84+D85+D86+D87+D88+D89,"n.a.")</f>
        <v>-35.081000000000003</v>
      </c>
      <c r="E90" s="26">
        <f t="shared" ref="E90:J90" si="23">IFERROR(E81+E82+E83+E84+E85+E86+E87+E88+E89,"n.a.")</f>
        <v>-331.06099999999981</v>
      </c>
      <c r="F90" s="26">
        <f t="shared" si="23"/>
        <v>439.3979999999998</v>
      </c>
      <c r="G90" s="26">
        <f t="shared" si="23"/>
        <v>-1084.6460000000002</v>
      </c>
      <c r="H90" s="26">
        <f t="shared" si="23"/>
        <v>-1404.6919428556666</v>
      </c>
      <c r="I90" s="26">
        <f t="shared" si="23"/>
        <v>-979.58316953688859</v>
      </c>
      <c r="J90" s="26">
        <f t="shared" si="23"/>
        <v>-610.70108228228685</v>
      </c>
      <c r="K90" s="26">
        <f>IFERROR(K81+K82+K83+K84+K85+K86+K87+K88+K89,"n.a.")</f>
        <v>-888.1018132092056</v>
      </c>
      <c r="M90" s="177"/>
    </row>
    <row r="91" spans="1:13" ht="12.5">
      <c r="C91" s="88"/>
      <c r="D91" s="88"/>
      <c r="E91" s="88"/>
      <c r="F91" s="88"/>
      <c r="G91" s="88"/>
      <c r="H91" s="88"/>
      <c r="I91" s="88"/>
      <c r="J91" s="88"/>
      <c r="K91" s="88"/>
      <c r="L91" s="83"/>
    </row>
    <row r="92" spans="1:13" s="14" customFormat="1" ht="13">
      <c r="A92" s="84" t="s">
        <v>92</v>
      </c>
      <c r="B92" s="84"/>
      <c r="C92" s="23">
        <v>-135.59700000000001</v>
      </c>
      <c r="D92" s="23">
        <v>37.100999999999999</v>
      </c>
      <c r="E92" s="23">
        <v>0</v>
      </c>
      <c r="F92" s="23">
        <v>0</v>
      </c>
      <c r="G92" s="23">
        <v>0</v>
      </c>
      <c r="H92" s="23">
        <v>0</v>
      </c>
      <c r="I92" s="23">
        <v>0</v>
      </c>
      <c r="J92" s="23">
        <v>0</v>
      </c>
      <c r="K92" s="23">
        <v>0</v>
      </c>
      <c r="M92" s="177"/>
    </row>
    <row r="93" spans="1:13" s="14" customFormat="1" ht="13">
      <c r="A93" s="76" t="s">
        <v>93</v>
      </c>
      <c r="B93" s="76"/>
      <c r="C93" s="67">
        <f t="shared" ref="C93:J93" si="24">IFERROR(C60+C79+C90+C92,"n.a.")</f>
        <v>-342.79008642764995</v>
      </c>
      <c r="D93" s="67">
        <f t="shared" si="24"/>
        <v>250.15799999999967</v>
      </c>
      <c r="E93" s="67">
        <f>IFERROR(E60+E79+E90+E92,"n.a.")</f>
        <v>315.86600000000055</v>
      </c>
      <c r="F93" s="67">
        <f t="shared" si="24"/>
        <v>806.06899999999973</v>
      </c>
      <c r="G93" s="67">
        <f>IFERROR(G60+G79+G90+G92,"n.a.")</f>
        <v>-421.91700000000037</v>
      </c>
      <c r="H93" s="67">
        <f t="shared" si="24"/>
        <v>-599.6708036772576</v>
      </c>
      <c r="I93" s="67">
        <f t="shared" si="24"/>
        <v>-12.580637694613415</v>
      </c>
      <c r="J93" s="67">
        <f t="shared" si="24"/>
        <v>260.64227838754971</v>
      </c>
      <c r="K93" s="67">
        <f>IFERROR(K60+K79+K90+K92,"n.a.")</f>
        <v>57.413536557927728</v>
      </c>
      <c r="M93" s="177"/>
    </row>
    <row r="94" spans="1:13" ht="12.5">
      <c r="C94" s="88"/>
      <c r="D94" s="88"/>
      <c r="E94" s="88"/>
      <c r="F94" s="88"/>
      <c r="G94" s="88"/>
      <c r="H94" s="88"/>
      <c r="I94" s="88"/>
      <c r="J94" s="88"/>
      <c r="K94" s="88"/>
      <c r="L94" s="83"/>
    </row>
    <row r="95" spans="1:13" s="14" customFormat="1" ht="13">
      <c r="A95" s="197" t="s">
        <v>357</v>
      </c>
      <c r="B95" s="84"/>
      <c r="C95" s="49">
        <v>1523.9280000000001</v>
      </c>
      <c r="D95" s="49">
        <f>C97-0.015</f>
        <v>1109.63991357235</v>
      </c>
      <c r="E95" s="49">
        <f t="shared" ref="E95:K95" si="25">D97</f>
        <v>1303.8519135723498</v>
      </c>
      <c r="F95" s="49">
        <f t="shared" si="25"/>
        <v>1600.6259135723503</v>
      </c>
      <c r="G95" s="49">
        <f t="shared" si="25"/>
        <v>2269.6819135723499</v>
      </c>
      <c r="H95" s="49">
        <f t="shared" si="25"/>
        <v>1883.5889135723496</v>
      </c>
      <c r="I95" s="49">
        <f t="shared" si="25"/>
        <v>1283.4270408950922</v>
      </c>
      <c r="J95" s="49">
        <f t="shared" si="25"/>
        <v>1248.8914682004788</v>
      </c>
      <c r="K95" s="49">
        <f t="shared" si="25"/>
        <v>1501.3549825880284</v>
      </c>
      <c r="M95" s="177"/>
    </row>
    <row r="96" spans="1:13" ht="12.5">
      <c r="A96" s="86" t="s">
        <v>10</v>
      </c>
      <c r="B96" s="86"/>
      <c r="C96" s="24">
        <v>-71.483000000000004</v>
      </c>
      <c r="D96" s="24">
        <v>-55.945999999999998</v>
      </c>
      <c r="E96" s="24">
        <v>-19.091999999999999</v>
      </c>
      <c r="F96" s="24">
        <v>-137.01300000000001</v>
      </c>
      <c r="G96" s="24">
        <v>35.823999999999998</v>
      </c>
      <c r="H96" s="24">
        <v>-0.49106899999999998</v>
      </c>
      <c r="I96" s="24">
        <v>-21.954934999999999</v>
      </c>
      <c r="J96" s="24">
        <v>-8.1787639999999993</v>
      </c>
      <c r="K96" s="24">
        <v>-34.619354999999999</v>
      </c>
      <c r="L96" s="83"/>
    </row>
    <row r="97" spans="1:13" ht="13">
      <c r="A97" s="76" t="s">
        <v>9</v>
      </c>
      <c r="B97" s="76"/>
      <c r="C97" s="67">
        <f>IFERROR(C93+C95+C96,"n.a.")</f>
        <v>1109.6549135723501</v>
      </c>
      <c r="D97" s="67">
        <f t="shared" ref="D97:I97" si="26">IFERROR(D93+D95+D96,"n.a.")</f>
        <v>1303.8519135723498</v>
      </c>
      <c r="E97" s="67">
        <f t="shared" si="26"/>
        <v>1600.6259135723503</v>
      </c>
      <c r="F97" s="67">
        <f t="shared" si="26"/>
        <v>2269.6819135723499</v>
      </c>
      <c r="G97" s="67">
        <f t="shared" si="26"/>
        <v>1883.5889135723496</v>
      </c>
      <c r="H97" s="67">
        <f t="shared" si="26"/>
        <v>1283.4270408950922</v>
      </c>
      <c r="I97" s="67">
        <f t="shared" si="26"/>
        <v>1248.8914682004788</v>
      </c>
      <c r="J97" s="67">
        <f>IFERROR(J93+J95+J96,"n.a.")</f>
        <v>1501.3549825880284</v>
      </c>
      <c r="K97" s="67">
        <f t="shared" ref="K97" si="27">IFERROR(K93+K95+K96,"n.a.")</f>
        <v>1524.1491641459561</v>
      </c>
      <c r="L97" s="83"/>
    </row>
    <row r="98" spans="1:13" ht="12.5">
      <c r="L98" s="83"/>
    </row>
    <row r="99" spans="1:13" ht="12.5">
      <c r="L99" s="83"/>
    </row>
    <row r="100" spans="1:13" s="38" customFormat="1" ht="11.25" customHeight="1">
      <c r="A100" s="227" t="s">
        <v>361</v>
      </c>
      <c r="B100" s="227"/>
      <c r="C100" s="227"/>
      <c r="D100" s="227"/>
      <c r="E100" s="227"/>
      <c r="F100" s="227"/>
      <c r="G100" s="227"/>
      <c r="H100" s="227"/>
      <c r="M100" s="178"/>
    </row>
    <row r="101" spans="1:13" ht="25.5" customHeight="1">
      <c r="A101" s="227"/>
      <c r="B101" s="227"/>
      <c r="C101" s="227"/>
      <c r="D101" s="227"/>
      <c r="E101" s="227"/>
      <c r="F101" s="227"/>
      <c r="G101" s="227"/>
      <c r="H101" s="227"/>
      <c r="I101" s="83"/>
      <c r="J101" s="83"/>
      <c r="K101" s="83"/>
      <c r="L101" s="83"/>
    </row>
    <row r="102" spans="1:13" ht="12.5">
      <c r="L102" s="83"/>
    </row>
    <row r="103" spans="1:13" ht="12.5">
      <c r="L103" s="83"/>
    </row>
    <row r="104" spans="1:13" ht="12.5">
      <c r="L104" s="83"/>
    </row>
    <row r="105" spans="1:13" ht="12.5">
      <c r="L105" s="83"/>
    </row>
    <row r="106" spans="1:13" ht="12.5">
      <c r="E106" s="166"/>
      <c r="F106" s="166"/>
      <c r="G106" s="166"/>
      <c r="H106" s="166"/>
      <c r="I106" s="166"/>
      <c r="J106" s="166"/>
      <c r="K106" s="166"/>
      <c r="L106" s="83"/>
    </row>
    <row r="107" spans="1:13" ht="12.5">
      <c r="L107" s="83"/>
    </row>
    <row r="108" spans="1:13" ht="12.5">
      <c r="L108" s="83"/>
    </row>
    <row r="109" spans="1:13" ht="12.5">
      <c r="L109" s="83"/>
    </row>
    <row r="110" spans="1:13" ht="12.5">
      <c r="L110" s="83"/>
    </row>
    <row r="111" spans="1:13" ht="12.5">
      <c r="L111" s="83"/>
    </row>
    <row r="112" spans="1:13" ht="12.5">
      <c r="L112" s="83"/>
    </row>
    <row r="113" spans="12:12" ht="12.5">
      <c r="L113" s="83"/>
    </row>
    <row r="114" spans="12:12" ht="12.5">
      <c r="L114" s="83"/>
    </row>
    <row r="115" spans="12:12" ht="12.5">
      <c r="L115" s="83"/>
    </row>
    <row r="116" spans="12:12" ht="12.5">
      <c r="L116" s="83"/>
    </row>
    <row r="117" spans="12:12" ht="12.5">
      <c r="L117" s="83"/>
    </row>
    <row r="118" spans="12:12" ht="12.5">
      <c r="L118" s="83"/>
    </row>
    <row r="119" spans="12:12" ht="12.5">
      <c r="L119" s="83"/>
    </row>
    <row r="120" spans="12:12" ht="12.5">
      <c r="L120" s="83"/>
    </row>
    <row r="121" spans="12:12" ht="12.5">
      <c r="L121" s="83"/>
    </row>
    <row r="122" spans="12:12" ht="12.5">
      <c r="L122" s="83"/>
    </row>
    <row r="123" spans="12:12" ht="12.5">
      <c r="L123" s="83"/>
    </row>
    <row r="124" spans="12:12" ht="12.5">
      <c r="L124" s="83"/>
    </row>
    <row r="125" spans="12:12" ht="12.5">
      <c r="L125" s="83"/>
    </row>
  </sheetData>
  <mergeCells count="2">
    <mergeCell ref="A100:H100"/>
    <mergeCell ref="A101:H101"/>
  </mergeCells>
  <pageMargins left="0" right="0" top="0" bottom="0" header="0" footer="0"/>
  <pageSetup paperSize="9" scale="51" orientation="portrait" r:id="rId1"/>
  <ignoredErrors>
    <ignoredError sqref="D95 D15 E13 H12" formula="1"/>
  </ignoredError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6" tint="0.79998168889431442"/>
    <pageSetUpPr fitToPage="1"/>
  </sheetPr>
  <dimension ref="A1:AN129"/>
  <sheetViews>
    <sheetView showGridLines="0" zoomScaleNormal="100" zoomScaleSheetLayoutView="100" workbookViewId="0">
      <pane xSplit="2" ySplit="6" topLeftCell="AI7" activePane="bottomRight" state="frozen"/>
      <selection activeCell="L10" sqref="L10"/>
      <selection pane="topRight" activeCell="L10" sqref="L10"/>
      <selection pane="bottomLeft" activeCell="L10" sqref="L10"/>
      <selection pane="bottomRight"/>
    </sheetView>
  </sheetViews>
  <sheetFormatPr defaultColWidth="9" defaultRowHeight="14" outlineLevelRow="3" outlineLevelCol="1"/>
  <cols>
    <col min="1" max="1" width="75.58203125" style="2" customWidth="1"/>
    <col min="2" max="2" width="2.58203125" style="2" customWidth="1"/>
    <col min="3" max="5" width="10.58203125" style="20" hidden="1" customWidth="1" outlineLevel="1"/>
    <col min="6" max="6" width="10.58203125" style="20" hidden="1" customWidth="1" outlineLevel="1" collapsed="1"/>
    <col min="7" max="10" width="10.58203125" style="20" hidden="1" customWidth="1" outlineLevel="1"/>
    <col min="11" max="11" width="10.58203125" style="20" hidden="1" customWidth="1" outlineLevel="1" collapsed="1"/>
    <col min="12" max="23" width="10.58203125" style="20" hidden="1" customWidth="1" outlineLevel="1"/>
    <col min="24" max="24" width="10.58203125" style="2" hidden="1" customWidth="1" outlineLevel="1"/>
    <col min="25" max="27" width="10.58203125" style="20" hidden="1" customWidth="1" outlineLevel="1"/>
    <col min="28" max="30" width="10.58203125" style="2" hidden="1" customWidth="1" outlineLevel="1"/>
    <col min="31" max="31" width="10.58203125" style="20" hidden="1" customWidth="1" outlineLevel="1"/>
    <col min="32" max="34" width="10.58203125" style="2" hidden="1" customWidth="1" outlineLevel="1"/>
    <col min="35" max="35" width="10.58203125" style="20" customWidth="1" collapsed="1"/>
    <col min="36" max="38" width="10.58203125" style="2" customWidth="1"/>
    <col min="39" max="39" width="3.08203125" customWidth="1"/>
    <col min="40" max="40" width="58.58203125" style="130" bestFit="1" customWidth="1"/>
    <col min="41" max="16384" width="9" style="2"/>
  </cols>
  <sheetData>
    <row r="1" spans="1:40" s="7" customFormat="1" ht="27.75" customHeight="1">
      <c r="A1" s="7" t="s">
        <v>152</v>
      </c>
      <c r="C1" s="8"/>
      <c r="D1" s="8"/>
      <c r="E1" s="8"/>
      <c r="F1" s="8"/>
      <c r="G1" s="8"/>
      <c r="H1" s="8"/>
      <c r="I1" s="8"/>
      <c r="J1" s="8"/>
      <c r="K1" s="8"/>
      <c r="L1" s="8"/>
      <c r="M1" s="8"/>
      <c r="N1" s="8"/>
      <c r="O1" s="8"/>
      <c r="P1" s="8"/>
      <c r="Q1" s="8"/>
      <c r="R1" s="8"/>
      <c r="S1" s="8"/>
      <c r="T1" s="8"/>
      <c r="U1" s="8"/>
      <c r="V1" s="8"/>
      <c r="W1" s="8"/>
      <c r="Y1" s="8"/>
      <c r="Z1" s="8"/>
      <c r="AA1" s="8"/>
      <c r="AE1" s="8"/>
      <c r="AI1" s="8"/>
      <c r="AN1" s="175"/>
    </row>
    <row r="2" spans="1:40">
      <c r="A2" s="158" t="s">
        <v>146</v>
      </c>
      <c r="B2" s="159"/>
      <c r="J2" s="160"/>
    </row>
    <row r="4" spans="1:40" ht="14.5" thickBot="1">
      <c r="A4" s="9" t="s">
        <v>119</v>
      </c>
      <c r="B4" s="9"/>
      <c r="C4" s="10" t="s">
        <v>134</v>
      </c>
      <c r="D4" s="10" t="s">
        <v>132</v>
      </c>
      <c r="E4" s="10" t="s">
        <v>97</v>
      </c>
      <c r="F4" s="10" t="s">
        <v>130</v>
      </c>
      <c r="G4" s="10" t="s">
        <v>170</v>
      </c>
      <c r="H4" s="10" t="s">
        <v>179</v>
      </c>
      <c r="I4" s="10" t="s">
        <v>190</v>
      </c>
      <c r="J4" s="10" t="s">
        <v>192</v>
      </c>
      <c r="K4" s="10" t="s">
        <v>198</v>
      </c>
      <c r="L4" s="10" t="s">
        <v>216</v>
      </c>
      <c r="M4" s="10" t="s">
        <v>221</v>
      </c>
      <c r="N4" s="10" t="s">
        <v>222</v>
      </c>
      <c r="O4" s="10" t="s">
        <v>235</v>
      </c>
      <c r="P4" s="10" t="s">
        <v>240</v>
      </c>
      <c r="Q4" s="10" t="s">
        <v>243</v>
      </c>
      <c r="R4" s="10" t="s">
        <v>244</v>
      </c>
      <c r="S4" s="10" t="s">
        <v>271</v>
      </c>
      <c r="T4" s="10" t="s">
        <v>277</v>
      </c>
      <c r="U4" s="10" t="s">
        <v>281</v>
      </c>
      <c r="V4" s="10" t="s">
        <v>286</v>
      </c>
      <c r="W4" s="10" t="s">
        <v>287</v>
      </c>
      <c r="X4" s="10" t="s">
        <v>294</v>
      </c>
      <c r="Y4" s="10" t="s">
        <v>296</v>
      </c>
      <c r="Z4" s="10" t="s">
        <v>297</v>
      </c>
      <c r="AA4" s="168" t="s">
        <v>299</v>
      </c>
      <c r="AB4" s="10" t="s">
        <v>301</v>
      </c>
      <c r="AC4" s="10" t="s">
        <v>304</v>
      </c>
      <c r="AD4" s="10" t="s">
        <v>307</v>
      </c>
      <c r="AE4" s="10" t="s">
        <v>308</v>
      </c>
      <c r="AF4" s="10" t="s">
        <v>311</v>
      </c>
      <c r="AG4" s="10" t="s">
        <v>314</v>
      </c>
      <c r="AH4" s="10" t="s">
        <v>318</v>
      </c>
      <c r="AI4" s="10" t="s">
        <v>324</v>
      </c>
      <c r="AJ4" s="10" t="s">
        <v>345</v>
      </c>
      <c r="AK4" s="10" t="s">
        <v>348</v>
      </c>
      <c r="AL4" s="10" t="s">
        <v>351</v>
      </c>
      <c r="AN4" s="176" t="s">
        <v>320</v>
      </c>
    </row>
    <row r="5" spans="1:40">
      <c r="C5" s="82"/>
      <c r="D5" s="82"/>
      <c r="E5" s="82"/>
      <c r="F5" s="82"/>
      <c r="G5" s="82"/>
      <c r="H5" s="82"/>
      <c r="I5" s="82"/>
      <c r="J5" s="82"/>
      <c r="K5" s="82"/>
      <c r="L5" s="82"/>
      <c r="M5" s="82"/>
      <c r="N5" s="82"/>
      <c r="O5" s="82"/>
      <c r="P5" s="82"/>
      <c r="Q5" s="82"/>
      <c r="R5" s="82"/>
      <c r="S5" s="82"/>
      <c r="T5" s="82"/>
      <c r="U5" s="82"/>
      <c r="V5" s="82"/>
      <c r="W5" s="82"/>
      <c r="X5" s="82"/>
      <c r="Y5" s="82"/>
      <c r="Z5" s="82"/>
      <c r="AA5" s="169"/>
      <c r="AB5" s="82"/>
      <c r="AC5" s="82"/>
      <c r="AD5" s="82"/>
      <c r="AE5" s="82"/>
      <c r="AF5" s="82"/>
      <c r="AG5" s="82"/>
      <c r="AH5" s="82"/>
      <c r="AI5" s="82"/>
      <c r="AJ5" s="82"/>
      <c r="AK5" s="82"/>
      <c r="AL5" s="82"/>
    </row>
    <row r="6" spans="1:40">
      <c r="X6" s="20"/>
      <c r="AA6" s="186"/>
      <c r="AB6" s="20"/>
      <c r="AC6" s="20"/>
      <c r="AD6" s="20"/>
      <c r="AF6" s="20"/>
      <c r="AG6" s="20"/>
      <c r="AH6" s="20"/>
      <c r="AJ6" s="20"/>
      <c r="AK6" s="20"/>
      <c r="AL6" s="20"/>
    </row>
    <row r="7" spans="1:40">
      <c r="A7" s="109" t="s">
        <v>167</v>
      </c>
      <c r="B7" s="92"/>
      <c r="C7" s="48">
        <f>ROUND('Fin. Highlights - Interim'!C11,1)</f>
        <v>270.39999999999998</v>
      </c>
      <c r="D7" s="48">
        <f>ROUND('Fin. Highlights - Interim'!E11,1)</f>
        <v>546.4</v>
      </c>
      <c r="E7" s="48">
        <f>ROUND('Fin. Highlights - Interim'!G11,1)</f>
        <v>836.3</v>
      </c>
      <c r="F7" s="48">
        <f>ROUND('Fin. Highlights - Interim'!I11,1)</f>
        <v>1137.7</v>
      </c>
      <c r="G7" s="48">
        <f>ROUND('Fin. Highlights - Interim'!J11,1)</f>
        <v>288.10000000000002</v>
      </c>
      <c r="H7" s="48">
        <f>ROUND('Fin. Highlights - Interim'!L11,1)</f>
        <v>587.9</v>
      </c>
      <c r="I7" s="48">
        <f>ROUND('Fin. Highlights - Interim'!N11,1)</f>
        <v>907.7</v>
      </c>
      <c r="J7" s="48">
        <f>ROUND('Fin. Highlights - Interim'!P11,1)</f>
        <v>1234.7</v>
      </c>
      <c r="K7" s="48">
        <f>ROUND('Fin. Highlights - Interim'!Q11,1)</f>
        <v>315.60000000000002</v>
      </c>
      <c r="L7" s="48">
        <f>ROUND('Fin. Highlights - Interim'!S11,1)</f>
        <v>636.1</v>
      </c>
      <c r="M7" s="48">
        <f>ROUND('Fin. Highlights - Interim'!U11,1)+0.1</f>
        <v>978.6</v>
      </c>
      <c r="N7" s="48">
        <f>ROUND('Fin. Highlights - Interim'!W11-0.05,1)</f>
        <v>1310</v>
      </c>
      <c r="O7" s="48">
        <f>ROUND('Fin. Highlights - Interim'!X11,1)</f>
        <v>244.2</v>
      </c>
      <c r="P7" s="48">
        <f>ROUND('Fin. Highlights - Interim'!Z11,1)</f>
        <v>267.89999999999998</v>
      </c>
      <c r="Q7" s="48">
        <f>ROUND('Fin. Highlights - Interim'!AB11,1)</f>
        <v>577.29999999999995</v>
      </c>
      <c r="R7" s="48">
        <f>ROUND('Fin. Highlights - Interim'!AD11,1)</f>
        <v>892.6</v>
      </c>
      <c r="S7" s="48">
        <f>ROUND('Fin. Highlights - Interim'!AE11,1)</f>
        <v>266.5</v>
      </c>
      <c r="T7" s="48">
        <f>ROUND('Fin. Highlights - Interim'!AG11,1)</f>
        <v>573.9</v>
      </c>
      <c r="U7" s="48">
        <f>ROUND('Fin. Highlights - Interim'!AI11,1)</f>
        <v>894</v>
      </c>
      <c r="V7" s="48">
        <f>IFERROR(ROUND('Fin. Highlights - Interim'!AK11,1),"n.a.")</f>
        <v>1210.7</v>
      </c>
      <c r="W7" s="48">
        <f>ROUND('Fin. Highlights - Interim'!AL11,1)</f>
        <v>333.1</v>
      </c>
      <c r="X7" s="48">
        <f>ROUND('Fin. Highlights - Interim'!AN11,1)</f>
        <v>695.3</v>
      </c>
      <c r="Y7" s="48">
        <f>ROUND('Fin. Highlights - Interim'!AP11,1)</f>
        <v>1079.2</v>
      </c>
      <c r="Z7" s="48">
        <f>IFERROR(ROUND('Fin. Highlights - Interim'!AR11,1),"n.a.")</f>
        <v>1408.3</v>
      </c>
      <c r="AA7" s="170">
        <f>ROUND('Fin. Highlights - Interim'!AS11,1)</f>
        <v>359.7</v>
      </c>
      <c r="AB7" s="48">
        <f>ROUND('Fin. Highlights - Interim'!AU11,1)</f>
        <v>739.1</v>
      </c>
      <c r="AC7" s="48">
        <f>ROUND('Fin. Highlights - Interim'!AW11,1)</f>
        <v>1115.8</v>
      </c>
      <c r="AD7" s="48">
        <f>ROUND('Fin. Highlights - Interim'!AY11,1)</f>
        <v>1446.1</v>
      </c>
      <c r="AE7" s="48">
        <f>ROUND('Fin. Highlights - Interim'!AZ11,1)</f>
        <v>376.3</v>
      </c>
      <c r="AF7" s="48">
        <f>ROUND('Fin. Highlights - Interim'!BB11,1)</f>
        <v>768.3</v>
      </c>
      <c r="AG7" s="48">
        <f>ROUND('Fin. Highlights - Interim'!BD11,1)</f>
        <v>1157</v>
      </c>
      <c r="AH7" s="48">
        <f>'Cash Flow - FY'!J7</f>
        <v>1519.5</v>
      </c>
      <c r="AI7" s="207">
        <f>ROUND('Fin. Highlights - Interim'!BG11,1)</f>
        <v>399</v>
      </c>
      <c r="AJ7" s="207">
        <f>ROUND('Fin. Highlights - Interim'!BI11,1)</f>
        <v>792.9</v>
      </c>
      <c r="AK7" s="207">
        <f>ROUND('Fin. Highlights - Interim'!BK11,1)</f>
        <v>1185.2</v>
      </c>
      <c r="AL7" s="48">
        <f>'Cash Flow - FY'!K7</f>
        <v>1548.2792637944899</v>
      </c>
    </row>
    <row r="8" spans="1:40">
      <c r="A8" s="87" t="s">
        <v>28</v>
      </c>
      <c r="B8" s="92"/>
      <c r="C8" s="24">
        <v>-98.3</v>
      </c>
      <c r="D8" s="24">
        <v>-215.7</v>
      </c>
      <c r="E8" s="24">
        <v>-327.60000000000002</v>
      </c>
      <c r="F8" s="48">
        <f>'Cash Flow - FY'!C8</f>
        <v>-489.4</v>
      </c>
      <c r="G8" s="24">
        <v>-85.3</v>
      </c>
      <c r="H8" s="24">
        <v>-179.2</v>
      </c>
      <c r="I8" s="24">
        <v>-296.7</v>
      </c>
      <c r="J8" s="51">
        <f t="shared" ref="J8:S8" si="0">IFERROR(ROUND(J70+J75,1),"n.a.")</f>
        <v>-463.4</v>
      </c>
      <c r="K8" s="51">
        <f t="shared" si="0"/>
        <v>-78</v>
      </c>
      <c r="L8" s="51">
        <f t="shared" si="0"/>
        <v>-167.7</v>
      </c>
      <c r="M8" s="51">
        <f t="shared" si="0"/>
        <v>-242.3</v>
      </c>
      <c r="N8" s="51">
        <f t="shared" si="0"/>
        <v>-390.5</v>
      </c>
      <c r="O8" s="51">
        <f t="shared" si="0"/>
        <v>-56.6</v>
      </c>
      <c r="P8" s="51">
        <f t="shared" si="0"/>
        <v>-81.400000000000006</v>
      </c>
      <c r="Q8" s="51">
        <f t="shared" si="0"/>
        <v>-106.1</v>
      </c>
      <c r="R8" s="51">
        <f t="shared" si="0"/>
        <v>-140</v>
      </c>
      <c r="S8" s="51">
        <f t="shared" si="0"/>
        <v>-89.8</v>
      </c>
      <c r="T8" s="51">
        <f>IFERROR(ROUND(T70+T75+0.01,1),"n.a.")</f>
        <v>-152.80000000000001</v>
      </c>
      <c r="U8" s="51">
        <f t="shared" ref="U8:AC8" si="1">IFERROR(ROUND(U70+U75,1),"n.a.")</f>
        <v>-213.3</v>
      </c>
      <c r="V8" s="51">
        <f t="shared" si="1"/>
        <v>-345.6</v>
      </c>
      <c r="W8" s="51">
        <f t="shared" si="1"/>
        <v>-48.6</v>
      </c>
      <c r="X8" s="51">
        <f t="shared" si="1"/>
        <v>-115.7</v>
      </c>
      <c r="Y8" s="51">
        <f t="shared" si="1"/>
        <v>-188.7</v>
      </c>
      <c r="Z8" s="51">
        <f t="shared" si="1"/>
        <v>-397.7</v>
      </c>
      <c r="AA8" s="171">
        <f t="shared" si="1"/>
        <v>-53.2</v>
      </c>
      <c r="AB8" s="51">
        <f t="shared" si="1"/>
        <v>-123.5</v>
      </c>
      <c r="AC8" s="51">
        <f t="shared" si="1"/>
        <v>-201.2</v>
      </c>
      <c r="AD8" s="51">
        <f t="shared" ref="AD8:AE8" si="2">IFERROR(ROUND(AD70+AD75,1),"n.a.")</f>
        <v>-405.7</v>
      </c>
      <c r="AE8" s="51">
        <f t="shared" si="2"/>
        <v>-53.4</v>
      </c>
      <c r="AF8" s="51">
        <f>IFERROR(ROUND(AF70+AF75,1),"n.a.")</f>
        <v>-143.6</v>
      </c>
      <c r="AG8" s="51">
        <f t="shared" ref="AG8" si="3">IFERROR(ROUND(AG70+AG75,1),"n.a.")</f>
        <v>-235.7</v>
      </c>
      <c r="AH8" s="51">
        <f>'Cash Flow - FY'!J8</f>
        <v>-414.9</v>
      </c>
      <c r="AI8" s="24">
        <v>-60</v>
      </c>
      <c r="AJ8" s="24">
        <v>-128</v>
      </c>
      <c r="AK8" s="24">
        <v>-223.5</v>
      </c>
      <c r="AL8" s="51">
        <f>'Cash Flow - FY'!K8</f>
        <v>-419.7</v>
      </c>
    </row>
    <row r="9" spans="1:40">
      <c r="A9" s="87" t="s">
        <v>234</v>
      </c>
      <c r="B9" s="92"/>
      <c r="C9" s="24">
        <v>0</v>
      </c>
      <c r="D9" s="24">
        <v>0</v>
      </c>
      <c r="E9" s="24">
        <v>0</v>
      </c>
      <c r="F9" s="48">
        <f>'Cash Flow - FY'!C9</f>
        <v>0</v>
      </c>
      <c r="G9" s="24">
        <v>0</v>
      </c>
      <c r="H9" s="24">
        <v>0</v>
      </c>
      <c r="I9" s="24">
        <v>0</v>
      </c>
      <c r="J9" s="48">
        <f>'Cash Flow - FY'!D9</f>
        <v>0</v>
      </c>
      <c r="K9" s="24">
        <v>-3.2</v>
      </c>
      <c r="L9" s="24">
        <v>-17.2</v>
      </c>
      <c r="M9" s="24">
        <v>-25.7</v>
      </c>
      <c r="N9" s="48">
        <f>'Cash Flow - FY'!E9</f>
        <v>-51.2</v>
      </c>
      <c r="O9" s="24">
        <v>-22.9</v>
      </c>
      <c r="P9" s="24">
        <v>-47</v>
      </c>
      <c r="Q9" s="24">
        <v>-62.2</v>
      </c>
      <c r="R9" s="48">
        <f>'Cash Flow - FY'!F9</f>
        <v>-68.5</v>
      </c>
      <c r="S9" s="24">
        <v>-26.7</v>
      </c>
      <c r="T9" s="24">
        <v>-49.9</v>
      </c>
      <c r="U9" s="24">
        <v>-59.6</v>
      </c>
      <c r="V9" s="48">
        <f>'Cash Flow - FY'!G9</f>
        <v>-122.4</v>
      </c>
      <c r="W9" s="24">
        <v>-8.1</v>
      </c>
      <c r="X9" s="24">
        <v>-41.3</v>
      </c>
      <c r="Y9" s="24">
        <v>-50.5</v>
      </c>
      <c r="Z9" s="48">
        <f>'Cash Flow - FY'!H9</f>
        <v>-79.7</v>
      </c>
      <c r="AA9" s="187">
        <v>-15.1</v>
      </c>
      <c r="AB9" s="24">
        <v>-41.6</v>
      </c>
      <c r="AC9" s="24">
        <v>-69.099999999999994</v>
      </c>
      <c r="AD9" s="24">
        <f>+'Cash Flow - FY'!I9</f>
        <v>-101.2</v>
      </c>
      <c r="AE9" s="154">
        <v>-15.3</v>
      </c>
      <c r="AF9" s="24">
        <v>-41.4</v>
      </c>
      <c r="AG9" s="24">
        <v>-89.2</v>
      </c>
      <c r="AH9" s="24">
        <f>'Cash Flow - FY'!J9</f>
        <v>-118.8</v>
      </c>
      <c r="AI9" s="24">
        <v>-28.3</v>
      </c>
      <c r="AJ9" s="24">
        <v>-71.599999999999994</v>
      </c>
      <c r="AK9" s="24">
        <v>-97.1</v>
      </c>
      <c r="AL9" s="24">
        <f>'Cash Flow - FY'!K9</f>
        <v>-112.9</v>
      </c>
    </row>
    <row r="10" spans="1:40">
      <c r="A10" s="16" t="s">
        <v>140</v>
      </c>
      <c r="B10" s="93"/>
      <c r="C10" s="24">
        <v>-892.2</v>
      </c>
      <c r="D10" s="24">
        <v>-768.3</v>
      </c>
      <c r="E10" s="24">
        <v>-900.1</v>
      </c>
      <c r="F10" s="48">
        <f>'Cash Flow - FY'!C10</f>
        <v>123.8</v>
      </c>
      <c r="G10" s="24">
        <v>-928.80000000000007</v>
      </c>
      <c r="H10" s="24">
        <v>-997.7</v>
      </c>
      <c r="I10" s="24">
        <v>-1245.0999999999999</v>
      </c>
      <c r="J10" s="48">
        <f>'Cash Flow - FY'!D10</f>
        <v>-388.2</v>
      </c>
      <c r="K10" s="24">
        <v>-836</v>
      </c>
      <c r="L10" s="24">
        <v>-825.9</v>
      </c>
      <c r="M10" s="24">
        <v>-962.7</v>
      </c>
      <c r="N10" s="48">
        <f>'Cash Flow - FY'!E10</f>
        <v>-60.800000000000004</v>
      </c>
      <c r="O10" s="24">
        <v>-861.2</v>
      </c>
      <c r="P10" s="24">
        <v>-729.3</v>
      </c>
      <c r="Q10" s="24">
        <v>-902.3</v>
      </c>
      <c r="R10" s="48">
        <f>'Cash Flow - FY'!F10</f>
        <v>-92.8</v>
      </c>
      <c r="S10" s="24">
        <v>-717.19999999999993</v>
      </c>
      <c r="T10" s="24">
        <v>-643.9</v>
      </c>
      <c r="U10" s="24">
        <v>-705.59999999999991</v>
      </c>
      <c r="V10" s="48">
        <f>'Cash Flow - FY'!G10</f>
        <v>50.9</v>
      </c>
      <c r="W10" s="24">
        <v>-841.6</v>
      </c>
      <c r="X10" s="24">
        <v>-703</v>
      </c>
      <c r="Y10" s="24">
        <v>-752.6</v>
      </c>
      <c r="Z10" s="48">
        <f>'Cash Flow - FY'!H10</f>
        <v>77.90000000000002</v>
      </c>
      <c r="AA10" s="187">
        <v>-868.8</v>
      </c>
      <c r="AB10" s="24">
        <v>-875.6</v>
      </c>
      <c r="AC10" s="24">
        <v>-876</v>
      </c>
      <c r="AD10" s="24">
        <f>+'Cash Flow - FY'!I10</f>
        <v>85.4</v>
      </c>
      <c r="AE10" s="154">
        <v>-845.8</v>
      </c>
      <c r="AF10" s="24">
        <v>-862.7</v>
      </c>
      <c r="AG10" s="24">
        <v>-799.4</v>
      </c>
      <c r="AH10" s="24">
        <f>'Cash Flow - FY'!J10</f>
        <v>3</v>
      </c>
      <c r="AI10" s="24">
        <v>-865.7</v>
      </c>
      <c r="AJ10" s="24">
        <v>-810.3</v>
      </c>
      <c r="AK10" s="24">
        <v>-821.40000000000009</v>
      </c>
      <c r="AL10" s="24">
        <v>8.5</v>
      </c>
    </row>
    <row r="11" spans="1:40">
      <c r="A11" s="18" t="s">
        <v>129</v>
      </c>
      <c r="B11" s="94"/>
      <c r="C11" s="29">
        <f t="shared" ref="C11:U11" si="4">IFERROR(C7+C8+C9+C10,"n.a.")</f>
        <v>-720.10000000000014</v>
      </c>
      <c r="D11" s="29">
        <f t="shared" si="4"/>
        <v>-437.59999999999997</v>
      </c>
      <c r="E11" s="29">
        <f t="shared" si="4"/>
        <v>-391.40000000000009</v>
      </c>
      <c r="F11" s="29">
        <f t="shared" si="4"/>
        <v>772.1</v>
      </c>
      <c r="G11" s="29">
        <f t="shared" si="4"/>
        <v>-726</v>
      </c>
      <c r="H11" s="29">
        <f t="shared" si="4"/>
        <v>-589</v>
      </c>
      <c r="I11" s="29">
        <f t="shared" si="4"/>
        <v>-634.09999999999991</v>
      </c>
      <c r="J11" s="29">
        <f t="shared" si="4"/>
        <v>383.10000000000008</v>
      </c>
      <c r="K11" s="29">
        <f t="shared" si="4"/>
        <v>-601.59999999999991</v>
      </c>
      <c r="L11" s="29">
        <f t="shared" si="4"/>
        <v>-374.69999999999993</v>
      </c>
      <c r="M11" s="29">
        <f t="shared" si="4"/>
        <v>-252.10000000000014</v>
      </c>
      <c r="N11" s="29">
        <f t="shared" si="4"/>
        <v>807.5</v>
      </c>
      <c r="O11" s="29">
        <f t="shared" si="4"/>
        <v>-696.5</v>
      </c>
      <c r="P11" s="29">
        <f t="shared" si="4"/>
        <v>-589.79999999999995</v>
      </c>
      <c r="Q11" s="29">
        <f t="shared" si="4"/>
        <v>-493.3</v>
      </c>
      <c r="R11" s="29">
        <f t="shared" si="4"/>
        <v>591.30000000000007</v>
      </c>
      <c r="S11" s="29">
        <f t="shared" si="4"/>
        <v>-567.19999999999993</v>
      </c>
      <c r="T11" s="29">
        <f t="shared" si="4"/>
        <v>-272.7</v>
      </c>
      <c r="U11" s="29">
        <f t="shared" si="4"/>
        <v>-84.499999999999886</v>
      </c>
      <c r="V11" s="29">
        <f t="shared" ref="V11:AC11" si="5">IFERROR(V7+V8+V9+V10,"n.a.")</f>
        <v>793.6</v>
      </c>
      <c r="W11" s="29">
        <f t="shared" si="5"/>
        <v>-565.20000000000005</v>
      </c>
      <c r="X11" s="29">
        <f t="shared" si="5"/>
        <v>-164.70000000000005</v>
      </c>
      <c r="Y11" s="29">
        <f t="shared" si="5"/>
        <v>87.399999999999977</v>
      </c>
      <c r="Z11" s="29">
        <f t="shared" si="5"/>
        <v>1008.7999999999998</v>
      </c>
      <c r="AA11" s="173">
        <f t="shared" si="5"/>
        <v>-577.4</v>
      </c>
      <c r="AB11" s="29">
        <f t="shared" si="5"/>
        <v>-301.60000000000002</v>
      </c>
      <c r="AC11" s="29">
        <f t="shared" si="5"/>
        <v>-30.500000000000114</v>
      </c>
      <c r="AD11" s="29">
        <f t="shared" ref="AD11:AG11" si="6">IFERROR(AD7+AD8+AD9+AD10,"n.a.")</f>
        <v>1024.5999999999999</v>
      </c>
      <c r="AE11" s="29">
        <f t="shared" si="6"/>
        <v>-538.19999999999993</v>
      </c>
      <c r="AF11" s="29">
        <f t="shared" si="6"/>
        <v>-279.40000000000009</v>
      </c>
      <c r="AG11" s="29">
        <f t="shared" si="6"/>
        <v>32.699999999999932</v>
      </c>
      <c r="AH11" s="29">
        <f t="shared" ref="AH11:AJ11" si="7">IFERROR(AH7+AH8+AH9+AH10,"n.a.")</f>
        <v>988.8</v>
      </c>
      <c r="AI11" s="29">
        <f t="shared" si="7"/>
        <v>-555</v>
      </c>
      <c r="AJ11" s="29">
        <f t="shared" si="7"/>
        <v>-217</v>
      </c>
      <c r="AK11" s="29">
        <f t="shared" ref="AK11:AL11" si="8">IFERROR(AK7+AK8+AK9+AK10,"n.a.")</f>
        <v>43.199999999999932</v>
      </c>
      <c r="AL11" s="29">
        <f t="shared" si="8"/>
        <v>1024.17926379449</v>
      </c>
    </row>
    <row r="12" spans="1:40" ht="12.5">
      <c r="A12" s="16" t="s">
        <v>17</v>
      </c>
      <c r="B12" s="93"/>
      <c r="C12" s="51">
        <f>C58</f>
        <v>-45.664000000000001</v>
      </c>
      <c r="D12" s="24">
        <v>-51.8</v>
      </c>
      <c r="E12" s="24">
        <v>-116.9</v>
      </c>
      <c r="F12" s="48">
        <f>'Cash Flow - FY'!C12</f>
        <v>-135.5</v>
      </c>
      <c r="G12" s="51">
        <f t="shared" ref="G12:T12" si="9">ROUND(G58,1)</f>
        <v>-31.1</v>
      </c>
      <c r="H12" s="51">
        <f t="shared" si="9"/>
        <v>-67.3</v>
      </c>
      <c r="I12" s="51">
        <f t="shared" si="9"/>
        <v>-101.1</v>
      </c>
      <c r="J12" s="51">
        <f t="shared" si="9"/>
        <v>-119</v>
      </c>
      <c r="K12" s="51">
        <f t="shared" si="9"/>
        <v>-30.1</v>
      </c>
      <c r="L12" s="51">
        <f t="shared" si="9"/>
        <v>-76</v>
      </c>
      <c r="M12" s="51">
        <f t="shared" si="9"/>
        <v>-113.4</v>
      </c>
      <c r="N12" s="51">
        <f t="shared" si="9"/>
        <v>-142</v>
      </c>
      <c r="O12" s="51">
        <f t="shared" si="9"/>
        <v>-31.4</v>
      </c>
      <c r="P12" s="51">
        <f t="shared" si="9"/>
        <v>-53.8</v>
      </c>
      <c r="Q12" s="51">
        <f t="shared" si="9"/>
        <v>-70</v>
      </c>
      <c r="R12" s="51">
        <f t="shared" si="9"/>
        <v>-90.7</v>
      </c>
      <c r="S12" s="51">
        <f t="shared" si="9"/>
        <v>-37.1</v>
      </c>
      <c r="T12" s="51">
        <f t="shared" si="9"/>
        <v>-72</v>
      </c>
      <c r="U12" s="51">
        <f>ROUND(U58,1)</f>
        <v>-98.8</v>
      </c>
      <c r="V12" s="48">
        <f>'Cash Flow - FY'!G12</f>
        <v>-125.634</v>
      </c>
      <c r="W12" s="51">
        <f>ROUND(W58,1)</f>
        <v>-32.9</v>
      </c>
      <c r="X12" s="51">
        <f>ROUND(X58,1)</f>
        <v>-104.4</v>
      </c>
      <c r="Y12" s="51">
        <f>ROUND(Y58,1)</f>
        <v>-151.19999999999999</v>
      </c>
      <c r="Z12" s="48">
        <f>'Cash Flow - FY'!H12</f>
        <v>-205.46545425319079</v>
      </c>
      <c r="AA12" s="171">
        <f t="shared" ref="AA12:AF12" si="10">ROUND(AA58,1)</f>
        <v>-29</v>
      </c>
      <c r="AB12" s="51">
        <f t="shared" si="10"/>
        <v>-61.3</v>
      </c>
      <c r="AC12" s="51">
        <f t="shared" si="10"/>
        <v>-105.1</v>
      </c>
      <c r="AD12" s="51">
        <f>'Cash Flow - FY'!I12</f>
        <v>-138.98783525473061</v>
      </c>
      <c r="AE12" s="51">
        <f t="shared" si="10"/>
        <v>-24.7</v>
      </c>
      <c r="AF12" s="51">
        <f t="shared" si="10"/>
        <v>-69.5</v>
      </c>
      <c r="AG12" s="51">
        <f t="shared" ref="AG12" si="11">ROUND(AG58,1)</f>
        <v>-117.5</v>
      </c>
      <c r="AH12" s="51">
        <f>'Cash Flow - FY'!J12</f>
        <v>-158.48783559427511</v>
      </c>
      <c r="AI12" s="51">
        <v>-31.6</v>
      </c>
      <c r="AJ12" s="51">
        <f t="shared" ref="AJ12" si="12">ROUND(AJ58,1)</f>
        <v>-66.599999999999994</v>
      </c>
      <c r="AK12" s="51">
        <f t="shared" ref="AK12" si="13">ROUND(AK58,1)</f>
        <v>-111.9</v>
      </c>
      <c r="AL12" s="51">
        <f>'Cash Flow - FY'!K12</f>
        <v>-154.24049470268901</v>
      </c>
      <c r="AM12" s="83"/>
    </row>
    <row r="13" spans="1:40" ht="12.5">
      <c r="A13" s="87" t="s">
        <v>319</v>
      </c>
      <c r="B13" s="93"/>
      <c r="C13" s="51">
        <f>IFERROR(-C51-C52,"n.a.")</f>
        <v>-76.962999999999994</v>
      </c>
      <c r="D13" s="51">
        <f>IFERROR(-D51-D52,"n.a.")</f>
        <v>-226.35599999999999</v>
      </c>
      <c r="E13" s="51">
        <f>IFERROR(-E51-E52,"n.a.")</f>
        <v>-289.94799999999998</v>
      </c>
      <c r="F13" s="48">
        <f>'Cash Flow - FY'!C13</f>
        <v>-362.61</v>
      </c>
      <c r="G13" s="51">
        <f>IFERROR(-G51-G52,"n.a.")</f>
        <v>-55.185000000000002</v>
      </c>
      <c r="H13" s="51">
        <f>IFERROR(-H51-H52,"n.a.")</f>
        <v>-117.946</v>
      </c>
      <c r="I13" s="51">
        <f>IFERROR(-I51-I52,"n.a.")</f>
        <v>-138.79900000000001</v>
      </c>
      <c r="J13" s="48">
        <f>'Cash Flow - FY'!D13</f>
        <v>-196.31100000000001</v>
      </c>
      <c r="K13" s="51">
        <f>IFERROR(-K50,"n.a.")</f>
        <v>-48.051000000000002</v>
      </c>
      <c r="L13" s="24">
        <f>-99.8-10</f>
        <v>-109.8</v>
      </c>
      <c r="M13" s="24">
        <v>-175.8</v>
      </c>
      <c r="N13" s="48">
        <f>'Cash Flow - FY'!E13</f>
        <v>-109.37900000000002</v>
      </c>
      <c r="O13" s="51">
        <f t="shared" ref="O13:T13" si="14">IFERROR(ROUND(-O50,1),"n.a.")</f>
        <v>-32.5</v>
      </c>
      <c r="P13" s="51">
        <f t="shared" si="14"/>
        <v>-73.2</v>
      </c>
      <c r="Q13" s="51">
        <f t="shared" si="14"/>
        <v>-113.3</v>
      </c>
      <c r="R13" s="51">
        <f>IFERROR(ROUND(-R50+0.1,1),"n.a.")</f>
        <v>-156.4</v>
      </c>
      <c r="S13" s="51">
        <f t="shared" si="14"/>
        <v>-40</v>
      </c>
      <c r="T13" s="51">
        <f t="shared" si="14"/>
        <v>-71.8</v>
      </c>
      <c r="U13" s="51">
        <f>IFERROR(ROUND(-U50,1)+0.1,"n.a.")</f>
        <v>-106.9</v>
      </c>
      <c r="V13" s="48">
        <f>'Cash Flow - FY'!G13</f>
        <v>-144.28100000000001</v>
      </c>
      <c r="W13" s="51">
        <f>IFERROR(ROUND(-W50,1),"n.a.")</f>
        <v>-43.6</v>
      </c>
      <c r="X13" s="51">
        <f>IFERROR(ROUND(-X50,1),"n.a.")</f>
        <v>-89.6</v>
      </c>
      <c r="Y13" s="51">
        <f>IFERROR(ROUND(-Y50,1),"n.a.")</f>
        <v>-145.1</v>
      </c>
      <c r="Z13" s="48">
        <f>'Cash Flow - FY'!H13</f>
        <v>-201.70599999999999</v>
      </c>
      <c r="AA13" s="172">
        <v>-60.244558823529417</v>
      </c>
      <c r="AB13" s="24">
        <v>-118.25</v>
      </c>
      <c r="AC13" s="24">
        <v>-167.6</v>
      </c>
      <c r="AD13" s="48">
        <f>+'Cash Flow - FY'!I13</f>
        <v>-271.60000000000002</v>
      </c>
      <c r="AE13" s="24">
        <v>-63.220000000000006</v>
      </c>
      <c r="AF13" s="24">
        <v>-108.87099013850197</v>
      </c>
      <c r="AG13" s="24">
        <v>-179.80439777662957</v>
      </c>
      <c r="AH13" s="48">
        <f>'Cash Flow - FY'!J13</f>
        <v>-249.4</v>
      </c>
      <c r="AI13" s="24">
        <v>-49.1</v>
      </c>
      <c r="AJ13" s="24">
        <v>-116.7</v>
      </c>
      <c r="AK13" s="24">
        <v>-154.5</v>
      </c>
      <c r="AL13" s="48">
        <f>'Cash Flow - FY'!K13</f>
        <v>-200.3</v>
      </c>
      <c r="AM13" s="83"/>
      <c r="AN13" s="179" t="s">
        <v>321</v>
      </c>
    </row>
    <row r="14" spans="1:40" ht="12.5">
      <c r="A14" s="16" t="s">
        <v>98</v>
      </c>
      <c r="B14" s="93"/>
      <c r="C14" s="24">
        <v>-38.899999999999977</v>
      </c>
      <c r="D14" s="24">
        <v>-40.9</v>
      </c>
      <c r="E14" s="24">
        <v>-70.7</v>
      </c>
      <c r="F14" s="48">
        <f>'Cash Flow - FY'!C14</f>
        <v>-84</v>
      </c>
      <c r="G14" s="24">
        <v>-49.9</v>
      </c>
      <c r="H14" s="24">
        <v>-55.4</v>
      </c>
      <c r="I14" s="24">
        <v>-87.1</v>
      </c>
      <c r="J14" s="48">
        <f>'Cash Flow - FY'!D14</f>
        <v>-154.80000000000001</v>
      </c>
      <c r="K14" s="24">
        <v>-15.95</v>
      </c>
      <c r="L14" s="24">
        <v>-62.6</v>
      </c>
      <c r="M14" s="24">
        <v>-70.199999999999989</v>
      </c>
      <c r="N14" s="48">
        <f>'Cash Flow - FY'!E14</f>
        <v>-194.6</v>
      </c>
      <c r="O14" s="24">
        <v>6.9</v>
      </c>
      <c r="P14" s="24">
        <v>-40.799999999999997</v>
      </c>
      <c r="Q14" s="24">
        <v>-68.7</v>
      </c>
      <c r="R14" s="48">
        <f>'Cash Flow - FY'!F14</f>
        <v>-102.9</v>
      </c>
      <c r="S14" s="24">
        <v>-13</v>
      </c>
      <c r="T14" s="24">
        <v>-68.3</v>
      </c>
      <c r="U14" s="24">
        <v>-90.3</v>
      </c>
      <c r="V14" s="48">
        <f>'Cash Flow - FY'!G14</f>
        <v>-96.3</v>
      </c>
      <c r="W14" s="24">
        <v>-31.2</v>
      </c>
      <c r="X14" s="24">
        <v>-105</v>
      </c>
      <c r="Y14" s="24">
        <v>-114.3</v>
      </c>
      <c r="Z14" s="48">
        <f>'Cash Flow - FY'!H14</f>
        <v>-86.1</v>
      </c>
      <c r="AA14" s="187">
        <v>-24.755441176470683</v>
      </c>
      <c r="AB14" s="24">
        <v>-53.749999999999915</v>
      </c>
      <c r="AC14" s="24">
        <v>-64.499999999999915</v>
      </c>
      <c r="AD14" s="48">
        <f>+'Cash Flow - FY'!I14</f>
        <v>-105.1</v>
      </c>
      <c r="AE14" s="154">
        <v>-24.28000000000004</v>
      </c>
      <c r="AF14" s="154">
        <v>-38.929009861498002</v>
      </c>
      <c r="AG14" s="154">
        <v>-69.795602223370423</v>
      </c>
      <c r="AH14" s="48">
        <f>'Cash Flow - FY'!J14</f>
        <v>-13.5</v>
      </c>
      <c r="AI14" s="154">
        <v>-42.4</v>
      </c>
      <c r="AJ14" s="154">
        <v>-127.7</v>
      </c>
      <c r="AK14" s="154">
        <v>-161.19999999999999</v>
      </c>
      <c r="AL14" s="48">
        <f>'Cash Flow - FY'!K14</f>
        <v>-151.6</v>
      </c>
      <c r="AM14" s="83"/>
    </row>
    <row r="15" spans="1:40" s="14" customFormat="1" ht="13">
      <c r="A15" s="18" t="s">
        <v>248</v>
      </c>
      <c r="B15" s="94"/>
      <c r="C15" s="29">
        <f t="shared" ref="C15:U15" si="15">IFERROR(C11+C12+C13+C14,"n.a.")</f>
        <v>-881.62700000000007</v>
      </c>
      <c r="D15" s="29">
        <f t="shared" si="15"/>
        <v>-756.65599999999995</v>
      </c>
      <c r="E15" s="29">
        <f t="shared" si="15"/>
        <v>-868.94800000000009</v>
      </c>
      <c r="F15" s="29">
        <f t="shared" si="15"/>
        <v>189.99</v>
      </c>
      <c r="G15" s="29">
        <f t="shared" si="15"/>
        <v>-862.18500000000006</v>
      </c>
      <c r="H15" s="29">
        <f t="shared" si="15"/>
        <v>-829.64599999999996</v>
      </c>
      <c r="I15" s="29">
        <f t="shared" si="15"/>
        <v>-961.09899999999993</v>
      </c>
      <c r="J15" s="29">
        <f t="shared" si="15"/>
        <v>-87.010999999999939</v>
      </c>
      <c r="K15" s="29">
        <f t="shared" si="15"/>
        <v>-695.70100000000002</v>
      </c>
      <c r="L15" s="29">
        <f t="shared" si="15"/>
        <v>-623.09999999999991</v>
      </c>
      <c r="M15" s="29">
        <f t="shared" si="15"/>
        <v>-611.50000000000023</v>
      </c>
      <c r="N15" s="29">
        <f t="shared" si="15"/>
        <v>361.52099999999996</v>
      </c>
      <c r="O15" s="29">
        <f t="shared" si="15"/>
        <v>-753.5</v>
      </c>
      <c r="P15" s="29">
        <f t="shared" si="15"/>
        <v>-757.59999999999991</v>
      </c>
      <c r="Q15" s="29">
        <f t="shared" si="15"/>
        <v>-745.3</v>
      </c>
      <c r="R15" s="29">
        <f t="shared" si="15"/>
        <v>241.30000000000004</v>
      </c>
      <c r="S15" s="29">
        <f t="shared" si="15"/>
        <v>-657.3</v>
      </c>
      <c r="T15" s="29">
        <f t="shared" si="15"/>
        <v>-484.8</v>
      </c>
      <c r="U15" s="29">
        <f t="shared" si="15"/>
        <v>-380.49999999999994</v>
      </c>
      <c r="V15" s="29">
        <f>IFERROR(V11+V12+V13+V14,"n.a.")</f>
        <v>427.38499999999993</v>
      </c>
      <c r="W15" s="29">
        <f>IFERROR(W11+W12+W13+W14,"n.a.")</f>
        <v>-672.90000000000009</v>
      </c>
      <c r="X15" s="29">
        <f>IFERROR(X11+X12+X13+X14,"n.a.")</f>
        <v>-463.70000000000005</v>
      </c>
      <c r="Y15" s="29">
        <f>IFERROR(Y11+Y12+Y13+Y14-0.1,"n.a.")</f>
        <v>-323.3</v>
      </c>
      <c r="Z15" s="29">
        <f>IFERROR(Z11+Z12+Z13+Z14,"n.a.")</f>
        <v>515.52854574680896</v>
      </c>
      <c r="AA15" s="173">
        <f>IFERROR(AA11+AA12+AA13+AA14,"n.a.")</f>
        <v>-691.40000000000009</v>
      </c>
      <c r="AB15" s="29">
        <f>IFERROR(AB11+AB12+AB13+AB14,"n.a.")</f>
        <v>-534.9</v>
      </c>
      <c r="AC15" s="29">
        <f>IFERROR(AC11+AC12+AC13+AC14-0.1,"n.a.")</f>
        <v>-367.80000000000007</v>
      </c>
      <c r="AD15" s="29">
        <f t="shared" ref="AD15:AI15" si="16">IFERROR(AD11+AD12+AD13+AD14,"n.a.")</f>
        <v>508.91216474526925</v>
      </c>
      <c r="AE15" s="29">
        <f t="shared" si="16"/>
        <v>-650.40000000000009</v>
      </c>
      <c r="AF15" s="29">
        <f t="shared" si="16"/>
        <v>-496.70000000000005</v>
      </c>
      <c r="AG15" s="29">
        <f t="shared" si="16"/>
        <v>-334.40000000000009</v>
      </c>
      <c r="AH15" s="29">
        <f t="shared" si="16"/>
        <v>567.41216440572487</v>
      </c>
      <c r="AI15" s="29">
        <f t="shared" si="16"/>
        <v>-678.1</v>
      </c>
      <c r="AJ15" s="29">
        <f t="shared" ref="AJ15" si="17">IFERROR(AJ11+AJ12+AJ13+AJ14,"n.a.")</f>
        <v>-528</v>
      </c>
      <c r="AK15" s="29">
        <f t="shared" ref="AK15" si="18">IFERROR(AK11+AK12+AK13+AK14,"n.a.")</f>
        <v>-384.40000000000009</v>
      </c>
      <c r="AL15" s="29">
        <f>IFERROR(AL11+AL12+AL13+AL14,"n.a.")</f>
        <v>518.03876909180087</v>
      </c>
      <c r="AN15" s="177"/>
    </row>
    <row r="16" spans="1:40" ht="12.5">
      <c r="A16" s="16" t="s">
        <v>233</v>
      </c>
      <c r="B16" s="92"/>
      <c r="C16" s="24">
        <v>0</v>
      </c>
      <c r="D16" s="24">
        <v>0</v>
      </c>
      <c r="E16" s="24">
        <v>0</v>
      </c>
      <c r="F16" s="48">
        <f>'Cash Flow - FY'!C16</f>
        <v>10.299999999999999</v>
      </c>
      <c r="G16" s="24">
        <v>136.5</v>
      </c>
      <c r="H16" s="24">
        <v>136.69999999999999</v>
      </c>
      <c r="I16" s="24">
        <v>136.69999999999999</v>
      </c>
      <c r="J16" s="48">
        <f>'Cash Flow - FY'!D16</f>
        <v>135.29999999999998</v>
      </c>
      <c r="K16" s="24">
        <f>-17-0.2</f>
        <v>-17.2</v>
      </c>
      <c r="L16" s="24">
        <f>-17-0.4</f>
        <v>-17.399999999999999</v>
      </c>
      <c r="M16" s="24">
        <f>-17-0.4</f>
        <v>-17.399999999999999</v>
      </c>
      <c r="N16" s="48">
        <f>'Cash Flow - FY'!E16</f>
        <v>-17.399999999999999</v>
      </c>
      <c r="O16" s="24">
        <v>0</v>
      </c>
      <c r="P16" s="24">
        <v>0</v>
      </c>
      <c r="Q16" s="24">
        <v>0</v>
      </c>
      <c r="R16" s="48">
        <f>'Cash Flow - FY'!F16</f>
        <v>0</v>
      </c>
      <c r="S16" s="24">
        <v>3.8</v>
      </c>
      <c r="T16" s="24">
        <v>3.8</v>
      </c>
      <c r="U16" s="24">
        <v>3.8</v>
      </c>
      <c r="V16" s="48">
        <f>'Cash Flow - FY'!G16</f>
        <v>3.8</v>
      </c>
      <c r="W16" s="24">
        <v>0</v>
      </c>
      <c r="X16" s="24">
        <v>0</v>
      </c>
      <c r="Y16" s="24">
        <v>0</v>
      </c>
      <c r="Z16" s="48">
        <f>'Cash Flow - FY'!H16</f>
        <v>0</v>
      </c>
      <c r="AA16" s="172">
        <v>0</v>
      </c>
      <c r="AB16" s="24">
        <v>0</v>
      </c>
      <c r="AC16" s="24">
        <v>0</v>
      </c>
      <c r="AD16" s="24">
        <v>0</v>
      </c>
      <c r="AE16" s="24">
        <f>-AE29-AE28</f>
        <v>-23</v>
      </c>
      <c r="AF16" s="24">
        <f t="shared" ref="AF16:AH16" si="19">-AF29-AF28</f>
        <v>-22.5</v>
      </c>
      <c r="AG16" s="24">
        <f t="shared" si="19"/>
        <v>-22.4</v>
      </c>
      <c r="AH16" s="24">
        <f t="shared" si="19"/>
        <v>-33.5</v>
      </c>
      <c r="AI16" s="24">
        <v>-18.600000000000001</v>
      </c>
      <c r="AJ16" s="24">
        <v>24.3</v>
      </c>
      <c r="AK16" s="24">
        <v>21.900000000000006</v>
      </c>
      <c r="AL16" s="24">
        <v>22.800000000000004</v>
      </c>
      <c r="AM16" s="83"/>
    </row>
    <row r="17" spans="1:40" ht="12.5">
      <c r="A17" s="16" t="s">
        <v>249</v>
      </c>
      <c r="B17" s="92"/>
      <c r="C17" s="24">
        <v>0</v>
      </c>
      <c r="D17" s="24">
        <v>0</v>
      </c>
      <c r="E17" s="24">
        <v>0</v>
      </c>
      <c r="F17" s="48">
        <f>'Cash Flow - FY'!C17</f>
        <v>0</v>
      </c>
      <c r="G17" s="24">
        <v>0</v>
      </c>
      <c r="H17" s="24">
        <v>0</v>
      </c>
      <c r="I17" s="24">
        <v>0</v>
      </c>
      <c r="J17" s="48">
        <f>'Cash Flow - FY'!D17</f>
        <v>0</v>
      </c>
      <c r="K17" s="24">
        <v>0</v>
      </c>
      <c r="L17" s="24">
        <v>0</v>
      </c>
      <c r="M17" s="24">
        <v>0</v>
      </c>
      <c r="N17" s="48">
        <f>'Cash Flow - FY'!E17</f>
        <v>0</v>
      </c>
      <c r="O17" s="24">
        <v>0</v>
      </c>
      <c r="P17" s="24">
        <v>0</v>
      </c>
      <c r="Q17" s="24">
        <v>0</v>
      </c>
      <c r="R17" s="48">
        <f>'Cash Flow - FY'!F17</f>
        <v>-33.700000000000003</v>
      </c>
      <c r="S17" s="24">
        <v>0</v>
      </c>
      <c r="T17" s="24">
        <v>0</v>
      </c>
      <c r="U17" s="24">
        <v>0</v>
      </c>
      <c r="V17" s="48">
        <f>'Cash Flow - FY'!G17</f>
        <v>0</v>
      </c>
      <c r="W17" s="24">
        <v>0</v>
      </c>
      <c r="X17" s="24">
        <v>0</v>
      </c>
      <c r="Y17" s="24">
        <v>0</v>
      </c>
      <c r="Z17" s="48">
        <f>'Cash Flow - FY'!H17</f>
        <v>0</v>
      </c>
      <c r="AA17" s="172">
        <v>0</v>
      </c>
      <c r="AB17" s="24">
        <v>0</v>
      </c>
      <c r="AC17" s="24">
        <v>0</v>
      </c>
      <c r="AD17" s="24">
        <v>0</v>
      </c>
      <c r="AE17" s="24">
        <v>0</v>
      </c>
      <c r="AF17" s="24">
        <v>0</v>
      </c>
      <c r="AG17" s="24">
        <v>0</v>
      </c>
      <c r="AH17" s="24">
        <f>'Cash Flow - FY'!J17</f>
        <v>0</v>
      </c>
      <c r="AI17" s="24">
        <v>0</v>
      </c>
      <c r="AJ17" s="24">
        <v>0</v>
      </c>
      <c r="AK17" s="24">
        <v>0</v>
      </c>
      <c r="AL17" s="24">
        <v>0</v>
      </c>
      <c r="AM17" s="83"/>
    </row>
    <row r="18" spans="1:40" s="14" customFormat="1" ht="13">
      <c r="A18" s="18" t="s">
        <v>250</v>
      </c>
      <c r="B18" s="94"/>
      <c r="C18" s="29">
        <f t="shared" ref="C18:U18" si="20">IFERROR(C15+C16+C17,"n.a.")</f>
        <v>-881.62700000000007</v>
      </c>
      <c r="D18" s="29">
        <f t="shared" si="20"/>
        <v>-756.65599999999995</v>
      </c>
      <c r="E18" s="29">
        <f t="shared" si="20"/>
        <v>-868.94800000000009</v>
      </c>
      <c r="F18" s="29">
        <f t="shared" si="20"/>
        <v>200.29000000000002</v>
      </c>
      <c r="G18" s="29">
        <f t="shared" si="20"/>
        <v>-725.68500000000006</v>
      </c>
      <c r="H18" s="29">
        <f t="shared" si="20"/>
        <v>-692.94599999999991</v>
      </c>
      <c r="I18" s="29">
        <f t="shared" si="20"/>
        <v>-824.39899999999989</v>
      </c>
      <c r="J18" s="29">
        <f t="shared" si="20"/>
        <v>48.289000000000044</v>
      </c>
      <c r="K18" s="29">
        <f t="shared" si="20"/>
        <v>-712.90100000000007</v>
      </c>
      <c r="L18" s="29">
        <f t="shared" si="20"/>
        <v>-640.49999999999989</v>
      </c>
      <c r="M18" s="29">
        <f t="shared" si="20"/>
        <v>-628.9000000000002</v>
      </c>
      <c r="N18" s="29">
        <f t="shared" si="20"/>
        <v>344.12099999999998</v>
      </c>
      <c r="O18" s="29">
        <f t="shared" si="20"/>
        <v>-753.5</v>
      </c>
      <c r="P18" s="29">
        <f t="shared" si="20"/>
        <v>-757.59999999999991</v>
      </c>
      <c r="Q18" s="29">
        <f t="shared" si="20"/>
        <v>-745.3</v>
      </c>
      <c r="R18" s="29">
        <f t="shared" si="20"/>
        <v>207.60000000000002</v>
      </c>
      <c r="S18" s="29">
        <f t="shared" si="20"/>
        <v>-653.5</v>
      </c>
      <c r="T18" s="29">
        <f t="shared" si="20"/>
        <v>-481</v>
      </c>
      <c r="U18" s="29">
        <f t="shared" si="20"/>
        <v>-376.69999999999993</v>
      </c>
      <c r="V18" s="29">
        <f t="shared" ref="V18:AC18" si="21">IFERROR(V15+V16+V17,"n.a.")</f>
        <v>431.18499999999995</v>
      </c>
      <c r="W18" s="29">
        <f t="shared" si="21"/>
        <v>-672.90000000000009</v>
      </c>
      <c r="X18" s="29">
        <f t="shared" si="21"/>
        <v>-463.70000000000005</v>
      </c>
      <c r="Y18" s="29">
        <f t="shared" si="21"/>
        <v>-323.3</v>
      </c>
      <c r="Z18" s="29">
        <f t="shared" si="21"/>
        <v>515.52854574680896</v>
      </c>
      <c r="AA18" s="173">
        <f t="shared" si="21"/>
        <v>-691.40000000000009</v>
      </c>
      <c r="AB18" s="29">
        <f t="shared" si="21"/>
        <v>-534.9</v>
      </c>
      <c r="AC18" s="29">
        <f t="shared" si="21"/>
        <v>-367.80000000000007</v>
      </c>
      <c r="AD18" s="29">
        <f t="shared" ref="AD18:AG18" si="22">IFERROR(AD15+AD16+AD17,"n.a.")</f>
        <v>508.91216474526925</v>
      </c>
      <c r="AE18" s="29">
        <f t="shared" si="22"/>
        <v>-673.40000000000009</v>
      </c>
      <c r="AF18" s="29">
        <f t="shared" si="22"/>
        <v>-519.20000000000005</v>
      </c>
      <c r="AG18" s="29">
        <f t="shared" si="22"/>
        <v>-356.80000000000007</v>
      </c>
      <c r="AH18" s="29">
        <f t="shared" ref="AH18:AJ18" si="23">IFERROR(AH15+AH16+AH17,"n.a.")</f>
        <v>533.91216440572487</v>
      </c>
      <c r="AI18" s="29">
        <f t="shared" si="23"/>
        <v>-696.7</v>
      </c>
      <c r="AJ18" s="29">
        <f t="shared" si="23"/>
        <v>-503.7</v>
      </c>
      <c r="AK18" s="29">
        <f t="shared" ref="AK18" si="24">IFERROR(AK15+AK16+AK17,"n.a.")</f>
        <v>-362.50000000000011</v>
      </c>
      <c r="AL18" s="29">
        <f>IFERROR(AL15+AL16+AL17,"n.a.")</f>
        <v>540.83876909180083</v>
      </c>
      <c r="AN18" s="177"/>
    </row>
    <row r="19" spans="1:40" ht="12.5">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180"/>
      <c r="AN19" s="182"/>
    </row>
    <row r="20" spans="1:40" ht="12.5">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83"/>
    </row>
    <row r="21" spans="1:40" ht="13" hidden="1" outlineLevel="2">
      <c r="A21" s="75" t="s">
        <v>153</v>
      </c>
      <c r="B21" s="95"/>
      <c r="C21" s="78">
        <v>4960.7</v>
      </c>
      <c r="D21" s="78">
        <v>4960.7</v>
      </c>
      <c r="E21" s="78">
        <v>4960.7</v>
      </c>
      <c r="F21" s="78">
        <v>4960.7</v>
      </c>
      <c r="G21" s="78">
        <f>ROUND('Balance Sheet - FY'!C36,1)</f>
        <v>3218.5</v>
      </c>
      <c r="H21" s="78">
        <f>ROUND('Balance Sheet - FY'!C36,1)</f>
        <v>3218.5</v>
      </c>
      <c r="I21" s="78">
        <f>ROUND('Balance Sheet - FY'!C36,1)</f>
        <v>3218.5</v>
      </c>
      <c r="J21" s="78">
        <f>ROUND('Balance Sheet - FY'!C36,1)</f>
        <v>3218.5</v>
      </c>
      <c r="K21" s="78">
        <f>ROUND('Balance Sheet - FY'!D36,1)</f>
        <v>3180.1</v>
      </c>
      <c r="L21" s="78">
        <f>ROUND('Balance Sheet - FY'!D36,1)</f>
        <v>3180.1</v>
      </c>
      <c r="M21" s="78">
        <f>ROUND('Balance Sheet - FY'!D36,1)</f>
        <v>3180.1</v>
      </c>
      <c r="N21" s="78">
        <f>ROUND('Balance Sheet - FY'!D36,1)</f>
        <v>3180.1</v>
      </c>
      <c r="O21" s="78">
        <f>ROUND('Balance Sheet - FY'!E40,1)</f>
        <v>3507.2</v>
      </c>
      <c r="P21" s="78">
        <f>ROUND('Balance Sheet - FY'!E40,1)</f>
        <v>3507.2</v>
      </c>
      <c r="Q21" s="78">
        <f>ROUND('Balance Sheet - FY'!E40,1)</f>
        <v>3507.2</v>
      </c>
      <c r="R21" s="78">
        <f>ROUND('Balance Sheet - FY'!E40,1)</f>
        <v>3507.2</v>
      </c>
      <c r="S21" s="78">
        <f>ROUND('Balance Sheet - FY'!F40,1)</f>
        <v>3258.4</v>
      </c>
      <c r="T21" s="78">
        <f>ROUND('Balance Sheet - FY'!F40,1)</f>
        <v>3258.4</v>
      </c>
      <c r="U21" s="78">
        <f>ROUND('Balance Sheet - FY'!F40,1)</f>
        <v>3258.4</v>
      </c>
      <c r="V21" s="78">
        <f>ROUND('Balance Sheet - FY'!F40,1)</f>
        <v>3258.4</v>
      </c>
      <c r="W21" s="78">
        <f>ROUND('Balance Sheet - FY'!G40,1)</f>
        <v>2907.1</v>
      </c>
      <c r="X21" s="78">
        <f>ROUND('Balance Sheet - FY'!G40,1)</f>
        <v>2907.1</v>
      </c>
      <c r="Y21" s="78">
        <f>ROUND('Balance Sheet - FY'!G40,1)</f>
        <v>2907.1</v>
      </c>
      <c r="Z21" s="78">
        <f>ROUND('Balance Sheet - FY'!G40,1)</f>
        <v>2907.1</v>
      </c>
      <c r="AA21" s="78">
        <f>ROUND('Balance Sheet - FY'!H40,1)</f>
        <v>2552.6</v>
      </c>
      <c r="AB21" s="78">
        <f>ROUND('Balance Sheet - FY'!H40,1)</f>
        <v>2552.6</v>
      </c>
      <c r="AC21" s="78">
        <f>ROUND('Balance Sheet - FY'!H40,1)</f>
        <v>2552.6</v>
      </c>
      <c r="AD21" s="78">
        <f>ROUND('Balance Sheet - FY'!H40,1)</f>
        <v>2552.6</v>
      </c>
      <c r="AE21" s="78">
        <f>ROUND('Balance Sheet - FY'!I40,1)</f>
        <v>2261.6999999999998</v>
      </c>
      <c r="AF21" s="78">
        <f>ROUND('Balance Sheet - FY'!I40,1)</f>
        <v>2261.6999999999998</v>
      </c>
      <c r="AG21" s="78">
        <f>ROUND('Balance Sheet - FY'!I40,1)</f>
        <v>2261.6999999999998</v>
      </c>
      <c r="AH21" s="78">
        <f>ROUND('Balance Sheet - FY'!I40,1)</f>
        <v>2261.6999999999998</v>
      </c>
      <c r="AI21" s="78">
        <f>ROUND('Balance Sheet - FY'!J40,1)</f>
        <v>1925.8</v>
      </c>
      <c r="AJ21" s="78">
        <f>ROUND('Balance Sheet - FY'!J40,1)</f>
        <v>1925.8</v>
      </c>
      <c r="AK21" s="78">
        <f>ROUND('Balance Sheet - FY'!J40,1)</f>
        <v>1925.8</v>
      </c>
      <c r="AL21" s="78">
        <f>ROUND('Balance Sheet - FY'!J40,1)</f>
        <v>1925.8</v>
      </c>
      <c r="AM21" s="83"/>
    </row>
    <row r="22" spans="1:40" ht="12.5" hidden="1" outlineLevel="2">
      <c r="A22" s="40" t="s">
        <v>208</v>
      </c>
      <c r="B22" s="92"/>
      <c r="C22" s="24">
        <v>143.1</v>
      </c>
      <c r="D22" s="24">
        <v>143.1</v>
      </c>
      <c r="E22" s="24">
        <v>143.1</v>
      </c>
      <c r="F22" s="24">
        <v>143.1</v>
      </c>
      <c r="G22" s="24">
        <v>0</v>
      </c>
      <c r="H22" s="24">
        <v>0</v>
      </c>
      <c r="I22" s="24">
        <v>0</v>
      </c>
      <c r="J22" s="24">
        <v>0</v>
      </c>
      <c r="K22" s="24">
        <v>0</v>
      </c>
      <c r="L22" s="24">
        <v>0</v>
      </c>
      <c r="M22" s="24">
        <v>0</v>
      </c>
      <c r="N22" s="48">
        <v>0</v>
      </c>
      <c r="O22" s="24">
        <v>0</v>
      </c>
      <c r="P22" s="24">
        <v>0</v>
      </c>
      <c r="Q22" s="24">
        <v>0</v>
      </c>
      <c r="R22" s="48">
        <v>0</v>
      </c>
      <c r="S22" s="24">
        <v>0</v>
      </c>
      <c r="T22" s="24">
        <v>0</v>
      </c>
      <c r="U22" s="24">
        <v>0</v>
      </c>
      <c r="V22" s="48">
        <v>0</v>
      </c>
      <c r="W22" s="24">
        <v>0</v>
      </c>
      <c r="X22" s="24">
        <v>0</v>
      </c>
      <c r="Y22" s="24">
        <v>0</v>
      </c>
      <c r="Z22" s="48">
        <v>0</v>
      </c>
      <c r="AA22" s="24">
        <v>0</v>
      </c>
      <c r="AB22" s="24">
        <v>0</v>
      </c>
      <c r="AC22" s="24">
        <v>0</v>
      </c>
      <c r="AD22" s="24">
        <v>0</v>
      </c>
      <c r="AE22" s="24">
        <v>0</v>
      </c>
      <c r="AF22" s="24">
        <v>0</v>
      </c>
      <c r="AG22" s="24">
        <v>0</v>
      </c>
      <c r="AH22" s="24">
        <v>0</v>
      </c>
      <c r="AI22" s="24">
        <v>0</v>
      </c>
      <c r="AJ22" s="24">
        <v>0</v>
      </c>
      <c r="AK22" s="24">
        <v>0</v>
      </c>
      <c r="AL22" s="24">
        <v>0</v>
      </c>
      <c r="AM22" s="83"/>
    </row>
    <row r="23" spans="1:40" ht="12.5" hidden="1" outlineLevel="2">
      <c r="A23" s="40" t="s">
        <v>114</v>
      </c>
      <c r="B23" s="92"/>
      <c r="C23" s="24">
        <v>-190</v>
      </c>
      <c r="D23" s="24">
        <v>-190</v>
      </c>
      <c r="E23" s="24">
        <v>-190</v>
      </c>
      <c r="F23" s="24">
        <v>-190</v>
      </c>
      <c r="G23" s="24">
        <v>0</v>
      </c>
      <c r="H23" s="24">
        <v>0</v>
      </c>
      <c r="I23" s="24">
        <v>0</v>
      </c>
      <c r="J23" s="24">
        <v>0</v>
      </c>
      <c r="K23" s="24">
        <v>0</v>
      </c>
      <c r="L23" s="24">
        <v>0</v>
      </c>
      <c r="M23" s="24">
        <v>0</v>
      </c>
      <c r="N23" s="48">
        <v>0</v>
      </c>
      <c r="O23" s="24">
        <v>0</v>
      </c>
      <c r="P23" s="24">
        <v>0</v>
      </c>
      <c r="Q23" s="24">
        <v>0</v>
      </c>
      <c r="R23" s="48">
        <v>0</v>
      </c>
      <c r="S23" s="24">
        <v>0</v>
      </c>
      <c r="T23" s="24">
        <v>0</v>
      </c>
      <c r="U23" s="24">
        <v>0</v>
      </c>
      <c r="V23" s="48">
        <v>0</v>
      </c>
      <c r="W23" s="24">
        <v>0</v>
      </c>
      <c r="X23" s="24">
        <v>0</v>
      </c>
      <c r="Y23" s="24">
        <v>0</v>
      </c>
      <c r="Z23" s="48">
        <v>0</v>
      </c>
      <c r="AA23" s="24">
        <v>0</v>
      </c>
      <c r="AB23" s="24">
        <v>0</v>
      </c>
      <c r="AC23" s="24">
        <v>0</v>
      </c>
      <c r="AD23" s="24">
        <v>0</v>
      </c>
      <c r="AE23" s="24">
        <v>0</v>
      </c>
      <c r="AF23" s="24">
        <v>0</v>
      </c>
      <c r="AG23" s="24">
        <v>0</v>
      </c>
      <c r="AH23" s="24">
        <v>0</v>
      </c>
      <c r="AI23" s="24">
        <v>0</v>
      </c>
      <c r="AJ23" s="24">
        <v>0</v>
      </c>
      <c r="AK23" s="24">
        <v>0</v>
      </c>
      <c r="AL23" s="24">
        <v>0</v>
      </c>
      <c r="AM23" s="83"/>
    </row>
    <row r="24" spans="1:40" ht="12.5" hidden="1" outlineLevel="2">
      <c r="A24" s="40" t="s">
        <v>113</v>
      </c>
      <c r="B24" s="92"/>
      <c r="C24" s="24">
        <v>-1</v>
      </c>
      <c r="D24" s="24">
        <v>-1</v>
      </c>
      <c r="E24" s="24">
        <v>-1</v>
      </c>
      <c r="F24" s="24">
        <v>-1</v>
      </c>
      <c r="G24" s="24">
        <v>0</v>
      </c>
      <c r="H24" s="24">
        <v>0</v>
      </c>
      <c r="I24" s="24">
        <v>0</v>
      </c>
      <c r="J24" s="24">
        <v>0</v>
      </c>
      <c r="K24" s="24">
        <v>0</v>
      </c>
      <c r="L24" s="24">
        <v>0</v>
      </c>
      <c r="M24" s="24">
        <v>0</v>
      </c>
      <c r="N24" s="48">
        <v>0</v>
      </c>
      <c r="O24" s="24">
        <v>0</v>
      </c>
      <c r="P24" s="24">
        <v>0</v>
      </c>
      <c r="Q24" s="24">
        <v>0</v>
      </c>
      <c r="R24" s="48">
        <v>0</v>
      </c>
      <c r="S24" s="24">
        <v>0</v>
      </c>
      <c r="T24" s="24">
        <v>0</v>
      </c>
      <c r="U24" s="24">
        <v>0</v>
      </c>
      <c r="V24" s="48">
        <v>0</v>
      </c>
      <c r="W24" s="24">
        <v>0</v>
      </c>
      <c r="X24" s="24">
        <v>0</v>
      </c>
      <c r="Y24" s="24">
        <v>0</v>
      </c>
      <c r="Z24" s="48">
        <v>0</v>
      </c>
      <c r="AA24" s="24">
        <v>0</v>
      </c>
      <c r="AB24" s="24">
        <v>0</v>
      </c>
      <c r="AC24" s="24">
        <v>0</v>
      </c>
      <c r="AD24" s="24">
        <v>0</v>
      </c>
      <c r="AE24" s="24">
        <v>0</v>
      </c>
      <c r="AF24" s="24">
        <v>0</v>
      </c>
      <c r="AG24" s="24">
        <v>0</v>
      </c>
      <c r="AH24" s="24">
        <v>0</v>
      </c>
      <c r="AI24" s="24">
        <v>0</v>
      </c>
      <c r="AJ24" s="24">
        <v>0</v>
      </c>
      <c r="AK24" s="24">
        <v>0</v>
      </c>
      <c r="AL24" s="24">
        <v>0</v>
      </c>
      <c r="AM24" s="83"/>
    </row>
    <row r="25" spans="1:40" ht="12.5" hidden="1" outlineLevel="2">
      <c r="A25" s="16" t="s">
        <v>115</v>
      </c>
      <c r="B25" s="92"/>
      <c r="C25" s="32">
        <f t="shared" ref="C25:I25" si="25">IFERROR(C22+C23+C24,"n.a.")</f>
        <v>-47.900000000000006</v>
      </c>
      <c r="D25" s="32">
        <f t="shared" si="25"/>
        <v>-47.900000000000006</v>
      </c>
      <c r="E25" s="32">
        <f t="shared" si="25"/>
        <v>-47.900000000000006</v>
      </c>
      <c r="F25" s="32">
        <f t="shared" si="25"/>
        <v>-47.900000000000006</v>
      </c>
      <c r="G25" s="32">
        <f t="shared" si="25"/>
        <v>0</v>
      </c>
      <c r="H25" s="32">
        <f t="shared" si="25"/>
        <v>0</v>
      </c>
      <c r="I25" s="32">
        <f t="shared" si="25"/>
        <v>0</v>
      </c>
      <c r="J25" s="32">
        <v>0</v>
      </c>
      <c r="K25" s="32">
        <f>IFERROR(K22+K23+K24,"n.a.")</f>
        <v>0</v>
      </c>
      <c r="L25" s="32">
        <f>IFERROR(L22+L23+L24,"n.a.")</f>
        <v>0</v>
      </c>
      <c r="M25" s="32">
        <f>IFERROR(M22+M23+M24,"n.a.")</f>
        <v>0</v>
      </c>
      <c r="N25" s="32">
        <v>0</v>
      </c>
      <c r="O25" s="32">
        <f>IFERROR(O22+O23+O24,"n.a.")</f>
        <v>0</v>
      </c>
      <c r="P25" s="32">
        <f>IFERROR(P22+P23+P24,"n.a.")</f>
        <v>0</v>
      </c>
      <c r="Q25" s="32">
        <f>IFERROR(Q22+Q23+Q24,"n.a.")</f>
        <v>0</v>
      </c>
      <c r="R25" s="32">
        <v>0</v>
      </c>
      <c r="S25" s="32">
        <f t="shared" ref="S25:AC25" si="26">IFERROR(S22+S23+S24,"n.a.")</f>
        <v>0</v>
      </c>
      <c r="T25" s="32">
        <f t="shared" si="26"/>
        <v>0</v>
      </c>
      <c r="U25" s="32">
        <f t="shared" si="26"/>
        <v>0</v>
      </c>
      <c r="V25" s="32">
        <f t="shared" si="26"/>
        <v>0</v>
      </c>
      <c r="W25" s="32">
        <f t="shared" si="26"/>
        <v>0</v>
      </c>
      <c r="X25" s="32">
        <f t="shared" si="26"/>
        <v>0</v>
      </c>
      <c r="Y25" s="32">
        <f t="shared" si="26"/>
        <v>0</v>
      </c>
      <c r="Z25" s="32">
        <f t="shared" si="26"/>
        <v>0</v>
      </c>
      <c r="AA25" s="32">
        <f t="shared" si="26"/>
        <v>0</v>
      </c>
      <c r="AB25" s="32">
        <f t="shared" si="26"/>
        <v>0</v>
      </c>
      <c r="AC25" s="32">
        <f t="shared" si="26"/>
        <v>0</v>
      </c>
      <c r="AD25" s="32">
        <f t="shared" ref="AD25:AG25" si="27">IFERROR(AD22+AD23+AD24,"n.a.")</f>
        <v>0</v>
      </c>
      <c r="AE25" s="32">
        <f t="shared" si="27"/>
        <v>0</v>
      </c>
      <c r="AF25" s="32">
        <f t="shared" si="27"/>
        <v>0</v>
      </c>
      <c r="AG25" s="32">
        <f t="shared" si="27"/>
        <v>0</v>
      </c>
      <c r="AH25" s="32">
        <f t="shared" ref="AH25:AJ25" si="28">IFERROR(AH22+AH23+AH24,"n.a.")</f>
        <v>0</v>
      </c>
      <c r="AI25" s="32">
        <f t="shared" si="28"/>
        <v>0</v>
      </c>
      <c r="AJ25" s="32">
        <f t="shared" si="28"/>
        <v>0</v>
      </c>
      <c r="AK25" s="32">
        <f t="shared" ref="AK25:AL25" si="29">IFERROR(AK22+AK23+AK24,"n.a.")</f>
        <v>0</v>
      </c>
      <c r="AL25" s="32">
        <f t="shared" si="29"/>
        <v>0</v>
      </c>
      <c r="AM25" s="83"/>
    </row>
    <row r="26" spans="1:40" s="14" customFormat="1" ht="13" collapsed="1">
      <c r="A26" s="96" t="s">
        <v>112</v>
      </c>
      <c r="B26" s="97"/>
      <c r="C26" s="54">
        <f t="shared" ref="C26:I26" si="30">IFERROR(C21+C25,"n.a.")</f>
        <v>4912.8</v>
      </c>
      <c r="D26" s="54">
        <f t="shared" si="30"/>
        <v>4912.8</v>
      </c>
      <c r="E26" s="54">
        <f t="shared" si="30"/>
        <v>4912.8</v>
      </c>
      <c r="F26" s="54">
        <f t="shared" si="30"/>
        <v>4912.8</v>
      </c>
      <c r="G26" s="54">
        <f t="shared" si="30"/>
        <v>3218.5</v>
      </c>
      <c r="H26" s="54">
        <f t="shared" si="30"/>
        <v>3218.5</v>
      </c>
      <c r="I26" s="54">
        <f t="shared" si="30"/>
        <v>3218.5</v>
      </c>
      <c r="J26" s="54">
        <f t="shared" ref="J26:AC26" si="31">IFERROR(J21+J25,"n.a.")</f>
        <v>3218.5</v>
      </c>
      <c r="K26" s="54">
        <f t="shared" si="31"/>
        <v>3180.1</v>
      </c>
      <c r="L26" s="54">
        <f t="shared" si="31"/>
        <v>3180.1</v>
      </c>
      <c r="M26" s="54">
        <f t="shared" si="31"/>
        <v>3180.1</v>
      </c>
      <c r="N26" s="54">
        <f t="shared" si="31"/>
        <v>3180.1</v>
      </c>
      <c r="O26" s="54">
        <f t="shared" si="31"/>
        <v>3507.2</v>
      </c>
      <c r="P26" s="54">
        <f t="shared" si="31"/>
        <v>3507.2</v>
      </c>
      <c r="Q26" s="54">
        <f t="shared" si="31"/>
        <v>3507.2</v>
      </c>
      <c r="R26" s="54">
        <f t="shared" si="31"/>
        <v>3507.2</v>
      </c>
      <c r="S26" s="54">
        <f t="shared" si="31"/>
        <v>3258.4</v>
      </c>
      <c r="T26" s="54">
        <f t="shared" si="31"/>
        <v>3258.4</v>
      </c>
      <c r="U26" s="54">
        <f t="shared" si="31"/>
        <v>3258.4</v>
      </c>
      <c r="V26" s="54">
        <f t="shared" si="31"/>
        <v>3258.4</v>
      </c>
      <c r="W26" s="54">
        <f t="shared" si="31"/>
        <v>2907.1</v>
      </c>
      <c r="X26" s="54">
        <f t="shared" si="31"/>
        <v>2907.1</v>
      </c>
      <c r="Y26" s="54">
        <f t="shared" si="31"/>
        <v>2907.1</v>
      </c>
      <c r="Z26" s="54">
        <f t="shared" si="31"/>
        <v>2907.1</v>
      </c>
      <c r="AA26" s="54">
        <f t="shared" si="31"/>
        <v>2552.6</v>
      </c>
      <c r="AB26" s="54">
        <f t="shared" si="31"/>
        <v>2552.6</v>
      </c>
      <c r="AC26" s="54">
        <f t="shared" si="31"/>
        <v>2552.6</v>
      </c>
      <c r="AD26" s="54">
        <f t="shared" ref="AD26:AG26" si="32">IFERROR(AD21+AD25,"n.a.")</f>
        <v>2552.6</v>
      </c>
      <c r="AE26" s="54">
        <f t="shared" si="32"/>
        <v>2261.6999999999998</v>
      </c>
      <c r="AF26" s="54">
        <f t="shared" si="32"/>
        <v>2261.6999999999998</v>
      </c>
      <c r="AG26" s="54">
        <f t="shared" si="32"/>
        <v>2261.6999999999998</v>
      </c>
      <c r="AH26" s="54">
        <f t="shared" ref="AH26:AJ26" si="33">IFERROR(AH21+AH25,"n.a.")</f>
        <v>2261.6999999999998</v>
      </c>
      <c r="AI26" s="54">
        <f t="shared" si="33"/>
        <v>1925.8</v>
      </c>
      <c r="AJ26" s="54">
        <f t="shared" si="33"/>
        <v>1925.8</v>
      </c>
      <c r="AK26" s="54">
        <f t="shared" ref="AK26:AL26" si="34">IFERROR(AK21+AK25,"n.a.")</f>
        <v>1925.8</v>
      </c>
      <c r="AL26" s="54">
        <f t="shared" si="34"/>
        <v>1925.8</v>
      </c>
      <c r="AM26" s="83"/>
      <c r="AN26" s="130"/>
    </row>
    <row r="27" spans="1:40" ht="12.5">
      <c r="A27" s="16" t="s">
        <v>210</v>
      </c>
      <c r="B27" s="93"/>
      <c r="C27" s="32">
        <f t="shared" ref="C27:R27" si="35">IFERROR(-C18,"n.a.")</f>
        <v>881.62700000000007</v>
      </c>
      <c r="D27" s="32">
        <f t="shared" si="35"/>
        <v>756.65599999999995</v>
      </c>
      <c r="E27" s="32">
        <f t="shared" si="35"/>
        <v>868.94800000000009</v>
      </c>
      <c r="F27" s="32">
        <f t="shared" si="35"/>
        <v>-200.29000000000002</v>
      </c>
      <c r="G27" s="32">
        <f t="shared" si="35"/>
        <v>725.68500000000006</v>
      </c>
      <c r="H27" s="32">
        <f t="shared" si="35"/>
        <v>692.94599999999991</v>
      </c>
      <c r="I27" s="32">
        <f t="shared" si="35"/>
        <v>824.39899999999989</v>
      </c>
      <c r="J27" s="32">
        <f t="shared" si="35"/>
        <v>-48.289000000000044</v>
      </c>
      <c r="K27" s="32">
        <f t="shared" si="35"/>
        <v>712.90100000000007</v>
      </c>
      <c r="L27" s="32">
        <f t="shared" si="35"/>
        <v>640.49999999999989</v>
      </c>
      <c r="M27" s="32">
        <f t="shared" si="35"/>
        <v>628.9000000000002</v>
      </c>
      <c r="N27" s="32">
        <f t="shared" si="35"/>
        <v>-344.12099999999998</v>
      </c>
      <c r="O27" s="32">
        <f t="shared" si="35"/>
        <v>753.5</v>
      </c>
      <c r="P27" s="32">
        <f t="shared" si="35"/>
        <v>757.59999999999991</v>
      </c>
      <c r="Q27" s="32">
        <f t="shared" si="35"/>
        <v>745.3</v>
      </c>
      <c r="R27" s="32">
        <f t="shared" si="35"/>
        <v>-207.60000000000002</v>
      </c>
      <c r="S27" s="32">
        <f t="shared" ref="S27:Z27" si="36">IFERROR(-S18,"n.a.")</f>
        <v>653.5</v>
      </c>
      <c r="T27" s="32">
        <f t="shared" si="36"/>
        <v>481</v>
      </c>
      <c r="U27" s="32">
        <f t="shared" si="36"/>
        <v>376.69999999999993</v>
      </c>
      <c r="V27" s="32">
        <f t="shared" si="36"/>
        <v>-431.18499999999995</v>
      </c>
      <c r="W27" s="32">
        <f t="shared" si="36"/>
        <v>672.90000000000009</v>
      </c>
      <c r="X27" s="32">
        <f t="shared" si="36"/>
        <v>463.70000000000005</v>
      </c>
      <c r="Y27" s="32">
        <f t="shared" si="36"/>
        <v>323.3</v>
      </c>
      <c r="Z27" s="32">
        <f t="shared" si="36"/>
        <v>-515.52854574680896</v>
      </c>
      <c r="AA27" s="32">
        <f t="shared" ref="AA27:AI27" si="37">IFERROR(-AA15,"n.a.")</f>
        <v>691.40000000000009</v>
      </c>
      <c r="AB27" s="32">
        <f t="shared" si="37"/>
        <v>534.9</v>
      </c>
      <c r="AC27" s="32">
        <f t="shared" si="37"/>
        <v>367.80000000000007</v>
      </c>
      <c r="AD27" s="32">
        <f t="shared" si="37"/>
        <v>-508.91216474526925</v>
      </c>
      <c r="AE27" s="32">
        <f t="shared" si="37"/>
        <v>650.40000000000009</v>
      </c>
      <c r="AF27" s="32">
        <f t="shared" si="37"/>
        <v>496.70000000000005</v>
      </c>
      <c r="AG27" s="32">
        <f t="shared" si="37"/>
        <v>334.40000000000009</v>
      </c>
      <c r="AH27" s="32">
        <f t="shared" si="37"/>
        <v>-567.41216440572487</v>
      </c>
      <c r="AI27" s="32">
        <f t="shared" si="37"/>
        <v>678.1</v>
      </c>
      <c r="AJ27" s="32">
        <f t="shared" ref="AJ27" si="38">IFERROR(-AJ15,"n.a.")</f>
        <v>528</v>
      </c>
      <c r="AK27" s="32">
        <f t="shared" ref="AK27:AL27" si="39">IFERROR(-AK15,"n.a.")</f>
        <v>384.40000000000009</v>
      </c>
      <c r="AL27" s="32">
        <f t="shared" si="39"/>
        <v>-518.03876909180087</v>
      </c>
      <c r="AM27" s="83"/>
    </row>
    <row r="28" spans="1:40" ht="12.5" hidden="1" outlineLevel="2">
      <c r="A28" s="16" t="s">
        <v>315</v>
      </c>
      <c r="B28" s="93"/>
      <c r="C28" s="24">
        <v>0</v>
      </c>
      <c r="D28" s="24">
        <v>0</v>
      </c>
      <c r="E28" s="24">
        <v>0</v>
      </c>
      <c r="F28" s="48">
        <v>0</v>
      </c>
      <c r="G28" s="24">
        <v>0</v>
      </c>
      <c r="H28" s="24">
        <v>0</v>
      </c>
      <c r="I28" s="24">
        <v>0</v>
      </c>
      <c r="J28" s="48">
        <v>0</v>
      </c>
      <c r="K28" s="24">
        <v>0</v>
      </c>
      <c r="L28" s="24">
        <v>0</v>
      </c>
      <c r="M28" s="24">
        <v>0</v>
      </c>
      <c r="N28" s="48">
        <v>0</v>
      </c>
      <c r="O28" s="24">
        <v>0</v>
      </c>
      <c r="P28" s="24">
        <v>0</v>
      </c>
      <c r="Q28" s="24">
        <v>0</v>
      </c>
      <c r="R28" s="48">
        <v>0</v>
      </c>
      <c r="S28" s="24">
        <v>0</v>
      </c>
      <c r="T28" s="24">
        <v>0</v>
      </c>
      <c r="U28" s="24">
        <v>0</v>
      </c>
      <c r="V28" s="48">
        <v>0</v>
      </c>
      <c r="W28" s="24">
        <v>0</v>
      </c>
      <c r="X28" s="24">
        <v>0</v>
      </c>
      <c r="Y28" s="24">
        <v>0</v>
      </c>
      <c r="Z28" s="48">
        <v>0</v>
      </c>
      <c r="AA28" s="24">
        <v>0</v>
      </c>
      <c r="AB28" s="24">
        <v>0</v>
      </c>
      <c r="AC28" s="24">
        <v>0</v>
      </c>
      <c r="AD28" s="24">
        <v>0</v>
      </c>
      <c r="AE28" s="24">
        <v>0</v>
      </c>
      <c r="AF28" s="24">
        <v>0</v>
      </c>
      <c r="AG28" s="24">
        <v>0.7</v>
      </c>
      <c r="AH28" s="24">
        <f>-0.1+12+0.7</f>
        <v>12.6</v>
      </c>
      <c r="AI28" s="24">
        <f>-AI16</f>
        <v>18.600000000000001</v>
      </c>
      <c r="AJ28" s="24">
        <v>19.100000000000001</v>
      </c>
      <c r="AK28" s="24">
        <v>21.3</v>
      </c>
      <c r="AL28" s="24">
        <f>-59.3+43.3</f>
        <v>-16</v>
      </c>
      <c r="AM28" s="83"/>
    </row>
    <row r="29" spans="1:40" ht="12.5" hidden="1" outlineLevel="2">
      <c r="A29" s="16" t="s">
        <v>309</v>
      </c>
      <c r="B29" s="93"/>
      <c r="C29" s="24">
        <v>0</v>
      </c>
      <c r="D29" s="24">
        <v>0</v>
      </c>
      <c r="E29" s="24">
        <v>0</v>
      </c>
      <c r="F29" s="48">
        <v>0</v>
      </c>
      <c r="G29" s="24">
        <v>0</v>
      </c>
      <c r="H29" s="24">
        <v>0</v>
      </c>
      <c r="I29" s="24">
        <v>0</v>
      </c>
      <c r="J29" s="48">
        <v>0</v>
      </c>
      <c r="K29" s="24">
        <v>0</v>
      </c>
      <c r="L29" s="24">
        <v>0</v>
      </c>
      <c r="M29" s="24">
        <v>0</v>
      </c>
      <c r="N29" s="48">
        <v>0</v>
      </c>
      <c r="O29" s="24">
        <v>0</v>
      </c>
      <c r="P29" s="24">
        <v>0</v>
      </c>
      <c r="Q29" s="24">
        <v>0</v>
      </c>
      <c r="R29" s="48">
        <v>0</v>
      </c>
      <c r="S29" s="24">
        <v>0</v>
      </c>
      <c r="T29" s="24">
        <v>0</v>
      </c>
      <c r="U29" s="24">
        <v>0</v>
      </c>
      <c r="V29" s="48">
        <v>0</v>
      </c>
      <c r="W29" s="24">
        <v>0</v>
      </c>
      <c r="X29" s="24">
        <v>0</v>
      </c>
      <c r="Y29" s="24">
        <v>0</v>
      </c>
      <c r="Z29" s="48">
        <v>0</v>
      </c>
      <c r="AA29" s="24">
        <v>0</v>
      </c>
      <c r="AB29" s="24">
        <v>0</v>
      </c>
      <c r="AC29" s="24">
        <v>0</v>
      </c>
      <c r="AD29" s="24">
        <v>0</v>
      </c>
      <c r="AE29" s="24">
        <v>23</v>
      </c>
      <c r="AF29" s="24">
        <v>22.5</v>
      </c>
      <c r="AG29" s="24">
        <v>21.7</v>
      </c>
      <c r="AH29" s="24">
        <v>20.9</v>
      </c>
      <c r="AI29" s="24">
        <v>0</v>
      </c>
      <c r="AJ29" s="24">
        <v>0</v>
      </c>
      <c r="AK29" s="24">
        <v>0</v>
      </c>
      <c r="AL29" s="24">
        <v>0</v>
      </c>
      <c r="AM29" s="83"/>
    </row>
    <row r="30" spans="1:40" ht="12.5" hidden="1" outlineLevel="2">
      <c r="A30" s="16" t="s">
        <v>346</v>
      </c>
      <c r="B30" s="93"/>
      <c r="C30" s="24">
        <v>0</v>
      </c>
      <c r="D30" s="24">
        <v>0</v>
      </c>
      <c r="E30" s="24">
        <v>0</v>
      </c>
      <c r="F30" s="48">
        <v>0</v>
      </c>
      <c r="G30" s="24">
        <v>0</v>
      </c>
      <c r="H30" s="24">
        <v>0</v>
      </c>
      <c r="I30" s="24">
        <v>0</v>
      </c>
      <c r="J30" s="48">
        <v>0</v>
      </c>
      <c r="K30" s="24">
        <v>0</v>
      </c>
      <c r="L30" s="24">
        <v>0</v>
      </c>
      <c r="M30" s="24">
        <v>0</v>
      </c>
      <c r="N30" s="48">
        <v>0</v>
      </c>
      <c r="O30" s="24">
        <v>0</v>
      </c>
      <c r="P30" s="24">
        <v>0</v>
      </c>
      <c r="Q30" s="24">
        <v>0</v>
      </c>
      <c r="R30" s="48">
        <v>0</v>
      </c>
      <c r="S30" s="24">
        <v>0</v>
      </c>
      <c r="T30" s="24">
        <v>0</v>
      </c>
      <c r="U30" s="24">
        <v>0</v>
      </c>
      <c r="V30" s="48">
        <v>0</v>
      </c>
      <c r="W30" s="24">
        <v>0</v>
      </c>
      <c r="X30" s="24">
        <v>0</v>
      </c>
      <c r="Y30" s="24">
        <v>0</v>
      </c>
      <c r="Z30" s="48">
        <v>0</v>
      </c>
      <c r="AA30" s="24">
        <v>0</v>
      </c>
      <c r="AB30" s="24">
        <v>0</v>
      </c>
      <c r="AC30" s="24">
        <v>0</v>
      </c>
      <c r="AD30" s="24">
        <v>0</v>
      </c>
      <c r="AE30" s="24">
        <v>0</v>
      </c>
      <c r="AF30" s="24">
        <v>0</v>
      </c>
      <c r="AG30" s="24">
        <v>0</v>
      </c>
      <c r="AH30" s="24">
        <v>0</v>
      </c>
      <c r="AI30" s="24">
        <v>0</v>
      </c>
      <c r="AJ30" s="24">
        <v>-43.4</v>
      </c>
      <c r="AK30" s="24">
        <v>-43.2</v>
      </c>
      <c r="AL30" s="24">
        <v>-43.3</v>
      </c>
      <c r="AM30" s="83"/>
    </row>
    <row r="31" spans="1:40" ht="12.5" collapsed="1">
      <c r="A31" s="16" t="s">
        <v>251</v>
      </c>
      <c r="B31" s="93"/>
      <c r="C31" s="24">
        <v>0</v>
      </c>
      <c r="D31" s="24">
        <v>0</v>
      </c>
      <c r="E31" s="24">
        <v>0</v>
      </c>
      <c r="F31" s="48">
        <f>'Cash Flow - FY'!C23</f>
        <v>0</v>
      </c>
      <c r="G31" s="24">
        <v>0</v>
      </c>
      <c r="H31" s="24">
        <v>0</v>
      </c>
      <c r="I31" s="24">
        <v>0</v>
      </c>
      <c r="J31" s="48">
        <f>'Cash Flow - FY'!D23</f>
        <v>0</v>
      </c>
      <c r="K31" s="24">
        <v>0</v>
      </c>
      <c r="L31" s="24">
        <v>0</v>
      </c>
      <c r="M31" s="24">
        <v>0</v>
      </c>
      <c r="N31" s="48">
        <f>'Cash Flow - FY'!E23</f>
        <v>0</v>
      </c>
      <c r="O31" s="24">
        <v>0</v>
      </c>
      <c r="P31" s="24">
        <v>0</v>
      </c>
      <c r="Q31" s="24">
        <v>0</v>
      </c>
      <c r="R31" s="48">
        <f>'Cash Flow - FY'!F23</f>
        <v>-41.2</v>
      </c>
      <c r="S31" s="24">
        <v>0</v>
      </c>
      <c r="T31" s="24">
        <v>0</v>
      </c>
      <c r="U31" s="24">
        <v>0</v>
      </c>
      <c r="V31" s="48">
        <f>'Cash Flow - FY'!G23</f>
        <v>0</v>
      </c>
      <c r="W31" s="24">
        <v>0</v>
      </c>
      <c r="X31" s="24">
        <v>0</v>
      </c>
      <c r="Y31" s="24">
        <v>0</v>
      </c>
      <c r="Z31" s="48">
        <f>'Cash Flow - FY'!H23</f>
        <v>0</v>
      </c>
      <c r="AA31" s="24">
        <v>0</v>
      </c>
      <c r="AB31" s="24">
        <v>0</v>
      </c>
      <c r="AC31" s="24">
        <v>0</v>
      </c>
      <c r="AD31" s="24">
        <v>0</v>
      </c>
      <c r="AE31" s="24">
        <v>0</v>
      </c>
      <c r="AF31" s="24">
        <v>0</v>
      </c>
      <c r="AG31" s="24">
        <v>0</v>
      </c>
      <c r="AH31" s="24">
        <v>0</v>
      </c>
      <c r="AI31" s="24">
        <v>0</v>
      </c>
      <c r="AJ31" s="24">
        <v>0</v>
      </c>
      <c r="AK31" s="24">
        <v>0</v>
      </c>
      <c r="AL31" s="24">
        <v>-496.5</v>
      </c>
      <c r="AM31" s="83"/>
    </row>
    <row r="32" spans="1:40" ht="12.5">
      <c r="A32" s="16" t="s">
        <v>99</v>
      </c>
      <c r="B32" s="93"/>
      <c r="C32" s="24">
        <v>0</v>
      </c>
      <c r="D32" s="24">
        <v>0</v>
      </c>
      <c r="E32" s="24">
        <v>0</v>
      </c>
      <c r="F32" s="48">
        <f>'Cash Flow - FY'!C24</f>
        <v>0</v>
      </c>
      <c r="G32" s="24">
        <v>0</v>
      </c>
      <c r="H32" s="24">
        <v>0</v>
      </c>
      <c r="I32" s="24">
        <v>0</v>
      </c>
      <c r="J32" s="48">
        <f>'Cash Flow - FY'!D24</f>
        <v>0</v>
      </c>
      <c r="K32" s="24">
        <v>0</v>
      </c>
      <c r="L32" s="24">
        <v>176.9</v>
      </c>
      <c r="M32" s="24">
        <v>176.9</v>
      </c>
      <c r="N32" s="48">
        <f>'Cash Flow - FY'!E24</f>
        <v>176.9</v>
      </c>
      <c r="O32" s="24">
        <v>0</v>
      </c>
      <c r="P32" s="24">
        <v>0</v>
      </c>
      <c r="Q32" s="24">
        <v>0</v>
      </c>
      <c r="R32" s="48">
        <f>'Cash Flow - FY'!F24</f>
        <v>0</v>
      </c>
      <c r="S32" s="24">
        <v>0</v>
      </c>
      <c r="T32" s="24">
        <v>79.3</v>
      </c>
      <c r="U32" s="24">
        <v>79.8</v>
      </c>
      <c r="V32" s="48">
        <f>'Cash Flow - FY'!G24</f>
        <v>79.900000000000006</v>
      </c>
      <c r="W32" s="24">
        <v>0</v>
      </c>
      <c r="X32" s="24">
        <v>159.9</v>
      </c>
      <c r="Y32" s="24">
        <v>160.19999999999999</v>
      </c>
      <c r="Z32" s="48">
        <f>'Cash Flow - FY'!H24</f>
        <v>161</v>
      </c>
      <c r="AA32" s="24">
        <v>0</v>
      </c>
      <c r="AB32" s="24">
        <v>0</v>
      </c>
      <c r="AC32" s="24">
        <v>217.8</v>
      </c>
      <c r="AD32" s="24">
        <f>+'Cash Flow - FY'!I24</f>
        <v>218</v>
      </c>
      <c r="AE32" s="24">
        <v>0</v>
      </c>
      <c r="AF32" s="24">
        <v>197.1</v>
      </c>
      <c r="AG32" s="24">
        <v>197.7</v>
      </c>
      <c r="AH32" s="48">
        <f>'Cash Flow - FY'!J24</f>
        <v>198</v>
      </c>
      <c r="AI32" s="24">
        <v>0</v>
      </c>
      <c r="AJ32" s="24">
        <v>249.2</v>
      </c>
      <c r="AK32" s="24">
        <v>249.6</v>
      </c>
      <c r="AL32" s="48">
        <f>'Cash Flow - FY'!K24</f>
        <v>250</v>
      </c>
      <c r="AM32" s="83"/>
    </row>
    <row r="33" spans="1:40" ht="12.5" hidden="1" outlineLevel="1">
      <c r="A33" s="16" t="s">
        <v>100</v>
      </c>
      <c r="B33" s="92"/>
      <c r="C33" s="24">
        <v>-269.3</v>
      </c>
      <c r="D33" s="24">
        <v>-304.60000000000002</v>
      </c>
      <c r="E33" s="24">
        <v>-304.60000000000002</v>
      </c>
      <c r="F33" s="48">
        <f>'Cash Flow - FY'!C25</f>
        <v>-304.60000000000002</v>
      </c>
      <c r="G33" s="24">
        <v>-5.3</v>
      </c>
      <c r="H33" s="24">
        <v>5</v>
      </c>
      <c r="I33" s="24">
        <v>-4.5999999999999996</v>
      </c>
      <c r="J33" s="48">
        <f>'Cash Flow - FY'!D25</f>
        <v>9.9</v>
      </c>
      <c r="K33" s="24">
        <v>0</v>
      </c>
      <c r="L33" s="24">
        <v>0</v>
      </c>
      <c r="M33" s="24">
        <v>0</v>
      </c>
      <c r="N33" s="48">
        <f>'Cash Flow - FY'!E25</f>
        <v>0</v>
      </c>
      <c r="O33" s="24">
        <v>0</v>
      </c>
      <c r="P33" s="24">
        <v>0</v>
      </c>
      <c r="Q33" s="24">
        <v>0</v>
      </c>
      <c r="R33" s="48">
        <f>'Cash Flow - FY'!F25</f>
        <v>0</v>
      </c>
      <c r="S33" s="24">
        <v>0</v>
      </c>
      <c r="T33" s="24">
        <v>0</v>
      </c>
      <c r="U33" s="24">
        <v>0</v>
      </c>
      <c r="V33" s="48">
        <f>'Cash Flow - FY'!G25</f>
        <v>0</v>
      </c>
      <c r="W33" s="24">
        <v>0</v>
      </c>
      <c r="X33" s="24">
        <v>0</v>
      </c>
      <c r="Y33" s="24">
        <v>0</v>
      </c>
      <c r="Z33" s="48">
        <f>'Cash Flow - FY'!H25</f>
        <v>0</v>
      </c>
      <c r="AA33" s="24">
        <v>0</v>
      </c>
      <c r="AB33" s="24">
        <v>0</v>
      </c>
      <c r="AC33" s="24">
        <v>0</v>
      </c>
      <c r="AD33" s="24">
        <v>0</v>
      </c>
      <c r="AE33" s="24">
        <v>0</v>
      </c>
      <c r="AF33" s="24">
        <v>0</v>
      </c>
      <c r="AG33" s="24">
        <v>0</v>
      </c>
      <c r="AH33" s="48">
        <f>'Cash Flow - FY'!J25</f>
        <v>0</v>
      </c>
      <c r="AI33" s="24">
        <v>0</v>
      </c>
      <c r="AJ33" s="24">
        <v>0</v>
      </c>
      <c r="AK33" s="24">
        <v>0</v>
      </c>
      <c r="AL33" s="48">
        <f>'Cash Flow - FY'!K25</f>
        <v>0</v>
      </c>
      <c r="AM33" s="83"/>
    </row>
    <row r="34" spans="1:40" ht="13" hidden="1" outlineLevel="1">
      <c r="A34" s="16" t="s">
        <v>101</v>
      </c>
      <c r="B34" s="92"/>
      <c r="C34" s="51">
        <f>-C91</f>
        <v>0</v>
      </c>
      <c r="D34" s="51">
        <f>-D91</f>
        <v>-1189.375</v>
      </c>
      <c r="E34" s="51">
        <f>-E91</f>
        <v>-1189.375</v>
      </c>
      <c r="F34" s="48">
        <f>'Cash Flow - FY'!C26</f>
        <v>-1189.375</v>
      </c>
      <c r="G34" s="24">
        <v>0</v>
      </c>
      <c r="H34" s="24">
        <v>0</v>
      </c>
      <c r="I34" s="24">
        <v>0</v>
      </c>
      <c r="J34" s="48">
        <f>'Cash Flow - FY'!D26</f>
        <v>0</v>
      </c>
      <c r="K34" s="24">
        <v>0</v>
      </c>
      <c r="L34" s="24">
        <v>0</v>
      </c>
      <c r="M34" s="24">
        <v>0</v>
      </c>
      <c r="N34" s="48">
        <f>'Cash Flow - FY'!E26</f>
        <v>0</v>
      </c>
      <c r="O34" s="24">
        <v>0</v>
      </c>
      <c r="P34" s="24">
        <v>0</v>
      </c>
      <c r="Q34" s="24">
        <v>0</v>
      </c>
      <c r="R34" s="48">
        <f>'Cash Flow - FY'!F26</f>
        <v>0</v>
      </c>
      <c r="S34" s="24">
        <v>0</v>
      </c>
      <c r="T34" s="24">
        <v>0</v>
      </c>
      <c r="U34" s="24">
        <v>0</v>
      </c>
      <c r="V34" s="48">
        <f>'Cash Flow - FY'!G26</f>
        <v>0</v>
      </c>
      <c r="W34" s="24">
        <v>0</v>
      </c>
      <c r="X34" s="24">
        <v>0</v>
      </c>
      <c r="Y34" s="24">
        <v>0</v>
      </c>
      <c r="Z34" s="48">
        <f>'Cash Flow - FY'!H26</f>
        <v>0</v>
      </c>
      <c r="AA34" s="24">
        <v>0</v>
      </c>
      <c r="AB34" s="24">
        <v>0</v>
      </c>
      <c r="AC34" s="24">
        <v>0</v>
      </c>
      <c r="AD34" s="24">
        <v>0</v>
      </c>
      <c r="AE34" s="24">
        <v>0</v>
      </c>
      <c r="AF34" s="24">
        <v>0</v>
      </c>
      <c r="AG34" s="24">
        <v>0</v>
      </c>
      <c r="AH34" s="48">
        <f>'Cash Flow - FY'!J26</f>
        <v>0</v>
      </c>
      <c r="AI34" s="24">
        <v>0</v>
      </c>
      <c r="AJ34" s="24">
        <v>0</v>
      </c>
      <c r="AK34" s="24">
        <v>0</v>
      </c>
      <c r="AL34" s="48">
        <f>'Cash Flow - FY'!K26</f>
        <v>0</v>
      </c>
      <c r="AM34" s="14"/>
      <c r="AN34" s="177"/>
    </row>
    <row r="35" spans="1:40" ht="12.5" hidden="1" outlineLevel="1">
      <c r="A35" s="134" t="s">
        <v>213</v>
      </c>
      <c r="B35" s="127"/>
      <c r="C35" s="128">
        <v>0</v>
      </c>
      <c r="D35" s="128">
        <v>0</v>
      </c>
      <c r="E35" s="128">
        <v>0</v>
      </c>
      <c r="F35" s="48">
        <f>'Cash Flow - FY'!C27</f>
        <v>0</v>
      </c>
      <c r="G35" s="128">
        <v>0</v>
      </c>
      <c r="H35" s="128">
        <v>0</v>
      </c>
      <c r="I35" s="128">
        <v>0</v>
      </c>
      <c r="J35" s="48">
        <f>'Cash Flow - FY'!D27</f>
        <v>0</v>
      </c>
      <c r="K35" s="128">
        <v>15.7</v>
      </c>
      <c r="L35" s="128">
        <v>24.5</v>
      </c>
      <c r="M35" s="128">
        <v>16.399999999999999</v>
      </c>
      <c r="N35" s="48">
        <f>'Cash Flow - FY'!E27</f>
        <v>11.2</v>
      </c>
      <c r="O35" s="128">
        <v>0</v>
      </c>
      <c r="P35" s="128">
        <v>0</v>
      </c>
      <c r="Q35" s="128">
        <v>0</v>
      </c>
      <c r="R35" s="48">
        <f>'Cash Flow - FY'!F27</f>
        <v>0</v>
      </c>
      <c r="S35" s="128">
        <v>0</v>
      </c>
      <c r="T35" s="128">
        <v>0</v>
      </c>
      <c r="U35" s="128">
        <v>0</v>
      </c>
      <c r="V35" s="48">
        <f>'Cash Flow - FY'!G27</f>
        <v>0</v>
      </c>
      <c r="W35" s="128">
        <v>0</v>
      </c>
      <c r="X35" s="128">
        <v>0</v>
      </c>
      <c r="Y35" s="128">
        <v>0</v>
      </c>
      <c r="Z35" s="48">
        <f>'Cash Flow - FY'!H27</f>
        <v>0</v>
      </c>
      <c r="AA35" s="128">
        <v>0</v>
      </c>
      <c r="AB35" s="128">
        <v>0</v>
      </c>
      <c r="AC35" s="128">
        <v>0</v>
      </c>
      <c r="AD35" s="128">
        <v>0</v>
      </c>
      <c r="AE35" s="128">
        <v>0</v>
      </c>
      <c r="AF35" s="128">
        <v>0</v>
      </c>
      <c r="AG35" s="128">
        <v>0</v>
      </c>
      <c r="AH35" s="184">
        <f>'Cash Flow - FY'!J27</f>
        <v>0</v>
      </c>
      <c r="AI35" s="128">
        <v>0</v>
      </c>
      <c r="AJ35" s="128">
        <v>0</v>
      </c>
      <c r="AK35" s="128">
        <v>0</v>
      </c>
      <c r="AL35" s="48">
        <f>'Cash Flow - FY'!K27</f>
        <v>0</v>
      </c>
      <c r="AM35" s="83"/>
    </row>
    <row r="36" spans="1:40" s="14" customFormat="1" ht="13" collapsed="1">
      <c r="A36" s="76" t="s">
        <v>200</v>
      </c>
      <c r="B36" s="98"/>
      <c r="C36" s="65">
        <f>IFERROR(C26+C27+C28+C29+C32+C33+C34,"n.a.")</f>
        <v>5525.1270000000004</v>
      </c>
      <c r="D36" s="65">
        <f t="shared" ref="D36:AH36" si="40">IFERROR(D26+D27+D28+D29+D32+D33+D34,"n.a.")</f>
        <v>4175.4809999999998</v>
      </c>
      <c r="E36" s="65">
        <f t="shared" si="40"/>
        <v>4287.7730000000001</v>
      </c>
      <c r="F36" s="65">
        <f t="shared" si="40"/>
        <v>3218.5349999999999</v>
      </c>
      <c r="G36" s="65">
        <f t="shared" si="40"/>
        <v>3938.8849999999998</v>
      </c>
      <c r="H36" s="65">
        <f t="shared" si="40"/>
        <v>3916.4459999999999</v>
      </c>
      <c r="I36" s="65">
        <f t="shared" si="40"/>
        <v>4038.299</v>
      </c>
      <c r="J36" s="65">
        <f t="shared" si="40"/>
        <v>3180.1109999999999</v>
      </c>
      <c r="K36" s="65">
        <f t="shared" si="40"/>
        <v>3893.0010000000002</v>
      </c>
      <c r="L36" s="65">
        <f t="shared" si="40"/>
        <v>3997.5</v>
      </c>
      <c r="M36" s="65">
        <f>IFERROR(M26+M27+M28+M29+M32+M33+M34,"n.a.")</f>
        <v>3985.9</v>
      </c>
      <c r="N36" s="65">
        <f t="shared" si="40"/>
        <v>3012.8789999999999</v>
      </c>
      <c r="O36" s="65">
        <f t="shared" si="40"/>
        <v>4260.7</v>
      </c>
      <c r="P36" s="65">
        <f t="shared" si="40"/>
        <v>4264.7999999999993</v>
      </c>
      <c r="Q36" s="65">
        <f t="shared" si="40"/>
        <v>4252.5</v>
      </c>
      <c r="R36" s="65">
        <f>IFERROR(R26+R27+R28+R29+R32+R33+R34+R31,"n.a.")</f>
        <v>3258.4</v>
      </c>
      <c r="S36" s="65">
        <f t="shared" si="40"/>
        <v>3911.9</v>
      </c>
      <c r="T36" s="65">
        <f t="shared" si="40"/>
        <v>3818.7000000000003</v>
      </c>
      <c r="U36" s="65">
        <f t="shared" si="40"/>
        <v>3714.9</v>
      </c>
      <c r="V36" s="65">
        <f t="shared" si="40"/>
        <v>2907.1150000000002</v>
      </c>
      <c r="W36" s="65">
        <f t="shared" si="40"/>
        <v>3580</v>
      </c>
      <c r="X36" s="65">
        <f t="shared" si="40"/>
        <v>3530.7000000000003</v>
      </c>
      <c r="Y36" s="65">
        <f t="shared" si="40"/>
        <v>3390.6</v>
      </c>
      <c r="Z36" s="65">
        <f t="shared" si="40"/>
        <v>2552.571454253191</v>
      </c>
      <c r="AA36" s="65">
        <f t="shared" si="40"/>
        <v>3244</v>
      </c>
      <c r="AB36" s="65">
        <f t="shared" si="40"/>
        <v>3087.5</v>
      </c>
      <c r="AC36" s="65">
        <f t="shared" si="40"/>
        <v>3138.2000000000003</v>
      </c>
      <c r="AD36" s="65">
        <f t="shared" si="40"/>
        <v>2261.6878352547305</v>
      </c>
      <c r="AE36" s="65">
        <f t="shared" si="40"/>
        <v>2935.1</v>
      </c>
      <c r="AF36" s="65">
        <f t="shared" si="40"/>
        <v>2977.9999999999995</v>
      </c>
      <c r="AG36" s="65">
        <f t="shared" si="40"/>
        <v>2816.1999999999994</v>
      </c>
      <c r="AH36" s="65">
        <f t="shared" si="40"/>
        <v>1925.7878355942748</v>
      </c>
      <c r="AI36" s="65">
        <f>IFERROR(AI26+AI27+AI28+AI29+AI32+AI33+AI34+AI30,"n.a.")</f>
        <v>2622.5</v>
      </c>
      <c r="AJ36" s="65">
        <f>IFERROR(AJ26+AJ27+AJ28+AJ29+AJ32+AJ33+AJ34+AJ30,"n.a.")</f>
        <v>2678.7</v>
      </c>
      <c r="AK36" s="65">
        <f>IFERROR(AK26+AK27+AK28+AK29+AK32+AK33+AK34+AK30,"n.a.")</f>
        <v>2537.9</v>
      </c>
      <c r="AL36" s="65">
        <f>IFERROR(AL26+AL27+AL28+AL29+AL32+AL33+AL34+AL31+AL30,"n.a.")</f>
        <v>1101.9612309081992</v>
      </c>
      <c r="AM36" s="83"/>
      <c r="AN36" s="130"/>
    </row>
    <row r="37" spans="1:40" ht="12.5">
      <c r="A37" s="16" t="s">
        <v>272</v>
      </c>
      <c r="B37" s="92"/>
      <c r="C37" s="24">
        <v>0</v>
      </c>
      <c r="D37" s="24">
        <v>0</v>
      </c>
      <c r="E37" s="24">
        <v>0</v>
      </c>
      <c r="F37" s="48">
        <f>'Cash Flow - FY'!C29</f>
        <v>0</v>
      </c>
      <c r="G37" s="24">
        <v>0</v>
      </c>
      <c r="H37" s="24">
        <v>0</v>
      </c>
      <c r="I37" s="24">
        <v>0</v>
      </c>
      <c r="J37" s="48">
        <f>'Cash Flow - FY'!D29</f>
        <v>0</v>
      </c>
      <c r="K37" s="24">
        <v>490</v>
      </c>
      <c r="L37" s="24">
        <v>494.3</v>
      </c>
      <c r="M37" s="24">
        <v>494.3</v>
      </c>
      <c r="N37" s="48">
        <f>'Cash Flow - FY'!E29</f>
        <v>494.3</v>
      </c>
      <c r="O37" s="24">
        <v>0</v>
      </c>
      <c r="P37" s="24">
        <v>0</v>
      </c>
      <c r="Q37" s="24">
        <v>0</v>
      </c>
      <c r="R37" s="48">
        <f>'Cash Flow - FY'!F29</f>
        <v>0</v>
      </c>
      <c r="S37" s="24">
        <v>0</v>
      </c>
      <c r="T37" s="24">
        <v>0</v>
      </c>
      <c r="U37" s="24">
        <v>0</v>
      </c>
      <c r="V37" s="48">
        <f>'Cash Flow - FY'!G29</f>
        <v>0</v>
      </c>
      <c r="W37" s="24">
        <v>0</v>
      </c>
      <c r="X37" s="24">
        <v>0</v>
      </c>
      <c r="Y37" s="24">
        <v>0</v>
      </c>
      <c r="Z37" s="48">
        <f>'Cash Flow - FY'!H29</f>
        <v>0</v>
      </c>
      <c r="AA37" s="24">
        <v>0</v>
      </c>
      <c r="AB37" s="24">
        <v>0</v>
      </c>
      <c r="AC37" s="24">
        <v>0</v>
      </c>
      <c r="AD37" s="48">
        <f>+'Cash Flow - FY'!I29</f>
        <v>0</v>
      </c>
      <c r="AE37" s="24">
        <v>0</v>
      </c>
      <c r="AF37" s="24">
        <v>0</v>
      </c>
      <c r="AG37" s="24">
        <v>0</v>
      </c>
      <c r="AH37" s="48">
        <f>+'Cash Flow - FY'!I29</f>
        <v>0</v>
      </c>
      <c r="AI37" s="24">
        <v>0</v>
      </c>
      <c r="AJ37" s="24">
        <v>0</v>
      </c>
      <c r="AK37" s="24">
        <v>0</v>
      </c>
      <c r="AL37" s="48">
        <f>+'Cash Flow - FY'!K29</f>
        <v>0</v>
      </c>
      <c r="AM37" s="83"/>
    </row>
    <row r="38" spans="1:40" ht="12.5">
      <c r="A38" s="16" t="s">
        <v>214</v>
      </c>
      <c r="B38" s="92"/>
      <c r="C38" s="24">
        <v>0</v>
      </c>
      <c r="D38" s="24">
        <v>0</v>
      </c>
      <c r="E38" s="24">
        <v>0</v>
      </c>
      <c r="F38" s="48">
        <f>'Cash Flow - FY'!C30</f>
        <v>0</v>
      </c>
      <c r="G38" s="24">
        <v>0</v>
      </c>
      <c r="H38" s="24">
        <v>0</v>
      </c>
      <c r="I38" s="24">
        <v>0</v>
      </c>
      <c r="J38" s="48">
        <f>'Cash Flow - FY'!D30</f>
        <v>0</v>
      </c>
      <c r="K38" s="24">
        <v>-15.7</v>
      </c>
      <c r="L38" s="24">
        <v>-24.5</v>
      </c>
      <c r="M38" s="24">
        <v>-16.399999999999999</v>
      </c>
      <c r="N38" s="48">
        <f>'Cash Flow - FY'!E30</f>
        <v>-11.2</v>
      </c>
      <c r="O38" s="24">
        <v>0</v>
      </c>
      <c r="P38" s="24">
        <v>0</v>
      </c>
      <c r="Q38" s="24">
        <v>0</v>
      </c>
      <c r="R38" s="48">
        <f>'Cash Flow - FY'!F30</f>
        <v>0</v>
      </c>
      <c r="S38" s="24">
        <v>0</v>
      </c>
      <c r="T38" s="24">
        <v>0</v>
      </c>
      <c r="U38" s="24">
        <v>0</v>
      </c>
      <c r="V38" s="48">
        <f>'Cash Flow - FY'!G30</f>
        <v>0</v>
      </c>
      <c r="W38" s="24">
        <v>0</v>
      </c>
      <c r="X38" s="24">
        <v>0</v>
      </c>
      <c r="Y38" s="24">
        <v>0</v>
      </c>
      <c r="Z38" s="48">
        <f>'Cash Flow - FY'!H30</f>
        <v>0</v>
      </c>
      <c r="AA38" s="24">
        <v>0</v>
      </c>
      <c r="AB38" s="24">
        <v>0</v>
      </c>
      <c r="AC38" s="24">
        <v>0</v>
      </c>
      <c r="AD38" s="48">
        <f>+'Cash Flow - FY'!I30</f>
        <v>0</v>
      </c>
      <c r="AE38" s="24">
        <v>0</v>
      </c>
      <c r="AF38" s="24">
        <v>0</v>
      </c>
      <c r="AG38" s="24">
        <v>0</v>
      </c>
      <c r="AH38" s="48">
        <f>+'Cash Flow - FY'!I30</f>
        <v>0</v>
      </c>
      <c r="AI38" s="24">
        <v>0</v>
      </c>
      <c r="AJ38" s="24">
        <v>0</v>
      </c>
      <c r="AK38" s="24">
        <v>0</v>
      </c>
      <c r="AL38" s="48">
        <f>+'Cash Flow - FY'!K30</f>
        <v>0</v>
      </c>
      <c r="AM38" s="83"/>
    </row>
    <row r="39" spans="1:40" s="14" customFormat="1" ht="13">
      <c r="A39" s="76" t="s">
        <v>201</v>
      </c>
      <c r="B39" s="98"/>
      <c r="C39" s="65">
        <f t="shared" ref="C39:E39" si="41">IFERROR(C36+C37,"n.a.")</f>
        <v>5525.1270000000004</v>
      </c>
      <c r="D39" s="65">
        <f t="shared" si="41"/>
        <v>4175.4809999999998</v>
      </c>
      <c r="E39" s="65">
        <f t="shared" si="41"/>
        <v>4287.7730000000001</v>
      </c>
      <c r="F39" s="65">
        <f t="shared" ref="F39:M39" si="42">IFERROR(F36+F37+F38,"n.a.")</f>
        <v>3218.5349999999999</v>
      </c>
      <c r="G39" s="65">
        <f t="shared" si="42"/>
        <v>3938.8849999999998</v>
      </c>
      <c r="H39" s="65">
        <f t="shared" si="42"/>
        <v>3916.4459999999999</v>
      </c>
      <c r="I39" s="65">
        <f t="shared" si="42"/>
        <v>4038.299</v>
      </c>
      <c r="J39" s="65">
        <f t="shared" si="42"/>
        <v>3180.1109999999999</v>
      </c>
      <c r="K39" s="65">
        <f t="shared" si="42"/>
        <v>4367.3010000000004</v>
      </c>
      <c r="L39" s="65">
        <f t="shared" si="42"/>
        <v>4467.3</v>
      </c>
      <c r="M39" s="65">
        <f t="shared" si="42"/>
        <v>4463.8</v>
      </c>
      <c r="N39" s="65">
        <f>IFERROR(N36+N37+N38,"n.a.")</f>
        <v>3495.9790000000003</v>
      </c>
      <c r="O39" s="65">
        <f t="shared" ref="O39:AL39" si="43">IFERROR(O36+O37+O38,"n.a.")</f>
        <v>4260.7</v>
      </c>
      <c r="P39" s="65">
        <f t="shared" si="43"/>
        <v>4264.7999999999993</v>
      </c>
      <c r="Q39" s="65">
        <f t="shared" si="43"/>
        <v>4252.5</v>
      </c>
      <c r="R39" s="65">
        <f t="shared" si="43"/>
        <v>3258.4</v>
      </c>
      <c r="S39" s="65">
        <f t="shared" si="43"/>
        <v>3911.9</v>
      </c>
      <c r="T39" s="65">
        <f t="shared" si="43"/>
        <v>3818.7000000000003</v>
      </c>
      <c r="U39" s="65">
        <f t="shared" si="43"/>
        <v>3714.9</v>
      </c>
      <c r="V39" s="65">
        <f t="shared" si="43"/>
        <v>2907.1150000000002</v>
      </c>
      <c r="W39" s="65">
        <f t="shared" si="43"/>
        <v>3580</v>
      </c>
      <c r="X39" s="65">
        <f t="shared" si="43"/>
        <v>3530.7000000000003</v>
      </c>
      <c r="Y39" s="65">
        <f t="shared" si="43"/>
        <v>3390.6</v>
      </c>
      <c r="Z39" s="65">
        <f t="shared" si="43"/>
        <v>2552.571454253191</v>
      </c>
      <c r="AA39" s="65">
        <f t="shared" si="43"/>
        <v>3244</v>
      </c>
      <c r="AB39" s="65">
        <f t="shared" si="43"/>
        <v>3087.5</v>
      </c>
      <c r="AC39" s="65">
        <f t="shared" si="43"/>
        <v>3138.2000000000003</v>
      </c>
      <c r="AD39" s="65">
        <f t="shared" si="43"/>
        <v>2261.6878352547305</v>
      </c>
      <c r="AE39" s="65">
        <f t="shared" si="43"/>
        <v>2935.1</v>
      </c>
      <c r="AF39" s="65">
        <f t="shared" si="43"/>
        <v>2977.9999999999995</v>
      </c>
      <c r="AG39" s="65">
        <f t="shared" si="43"/>
        <v>2816.1999999999994</v>
      </c>
      <c r="AH39" s="65">
        <f t="shared" si="43"/>
        <v>1925.7878355942748</v>
      </c>
      <c r="AI39" s="65">
        <f t="shared" si="43"/>
        <v>2622.5</v>
      </c>
      <c r="AJ39" s="65">
        <f t="shared" si="43"/>
        <v>2678.7</v>
      </c>
      <c r="AK39" s="65">
        <f t="shared" si="43"/>
        <v>2537.9</v>
      </c>
      <c r="AL39" s="65">
        <f t="shared" si="43"/>
        <v>1101.9612309081992</v>
      </c>
      <c r="AM39" s="83"/>
      <c r="AN39" s="130"/>
    </row>
    <row r="40" spans="1:40" ht="12.5">
      <c r="X40" s="20"/>
      <c r="AB40" s="20"/>
      <c r="AC40" s="20"/>
      <c r="AD40" s="20"/>
      <c r="AF40" s="20"/>
      <c r="AG40" s="20"/>
      <c r="AH40" s="20"/>
      <c r="AJ40" s="20"/>
      <c r="AK40" s="20"/>
      <c r="AL40" s="20"/>
      <c r="AM40" s="83"/>
    </row>
    <row r="41" spans="1:40" ht="12.5">
      <c r="X41" s="20"/>
      <c r="AB41" s="20"/>
      <c r="AC41" s="20"/>
      <c r="AD41" s="20"/>
      <c r="AF41" s="20"/>
      <c r="AG41" s="20"/>
      <c r="AH41" s="20"/>
      <c r="AJ41" s="20"/>
      <c r="AK41" s="20"/>
      <c r="AL41" s="20"/>
      <c r="AM41" s="83"/>
    </row>
    <row r="42" spans="1:40" ht="13.5" thickBot="1">
      <c r="A42" s="9" t="s">
        <v>117</v>
      </c>
      <c r="B42" s="9"/>
      <c r="C42" s="10" t="str">
        <f t="shared" ref="C42:AL42" si="44">C4</f>
        <v>1Q 2017</v>
      </c>
      <c r="D42" s="10" t="str">
        <f t="shared" si="44"/>
        <v>1H 2017</v>
      </c>
      <c r="E42" s="10" t="str">
        <f t="shared" si="44"/>
        <v>9M 2017</v>
      </c>
      <c r="F42" s="10" t="str">
        <f t="shared" si="44"/>
        <v>FY 2017</v>
      </c>
      <c r="G42" s="10" t="str">
        <f t="shared" si="44"/>
        <v>1Q 2018</v>
      </c>
      <c r="H42" s="10" t="str">
        <f t="shared" si="44"/>
        <v>1H 2018</v>
      </c>
      <c r="I42" s="10" t="str">
        <f t="shared" si="44"/>
        <v>9M 2018</v>
      </c>
      <c r="J42" s="10" t="str">
        <f t="shared" si="44"/>
        <v>FY 2018</v>
      </c>
      <c r="K42" s="10" t="str">
        <f t="shared" si="44"/>
        <v>1Q 2019</v>
      </c>
      <c r="L42" s="10" t="str">
        <f t="shared" si="44"/>
        <v>1H 2019</v>
      </c>
      <c r="M42" s="10" t="str">
        <f t="shared" si="44"/>
        <v>9M 2019</v>
      </c>
      <c r="N42" s="10" t="str">
        <f t="shared" si="44"/>
        <v>FY 2019</v>
      </c>
      <c r="O42" s="10" t="str">
        <f t="shared" si="44"/>
        <v>1Q 2020</v>
      </c>
      <c r="P42" s="10" t="str">
        <f t="shared" si="44"/>
        <v>1H 2020</v>
      </c>
      <c r="Q42" s="10" t="str">
        <f t="shared" si="44"/>
        <v>9M 2020</v>
      </c>
      <c r="R42" s="10" t="str">
        <f t="shared" si="44"/>
        <v>FY 2020</v>
      </c>
      <c r="S42" s="10" t="str">
        <f t="shared" si="44"/>
        <v>1Q 2021</v>
      </c>
      <c r="T42" s="10" t="str">
        <f t="shared" si="44"/>
        <v>1H 2021</v>
      </c>
      <c r="U42" s="10" t="str">
        <f t="shared" si="44"/>
        <v>9M 2021</v>
      </c>
      <c r="V42" s="10" t="str">
        <f t="shared" si="44"/>
        <v>FY 2021</v>
      </c>
      <c r="W42" s="10" t="str">
        <f t="shared" si="44"/>
        <v>1Q 2022</v>
      </c>
      <c r="X42" s="10" t="str">
        <f t="shared" si="44"/>
        <v>1H 2022</v>
      </c>
      <c r="Y42" s="10" t="str">
        <f t="shared" si="44"/>
        <v>9M 2022</v>
      </c>
      <c r="Z42" s="10" t="str">
        <f t="shared" si="44"/>
        <v>FY 2022</v>
      </c>
      <c r="AA42" s="10" t="str">
        <f t="shared" si="44"/>
        <v>1Q 2023</v>
      </c>
      <c r="AB42" s="10" t="str">
        <f t="shared" si="44"/>
        <v>1H 2023</v>
      </c>
      <c r="AC42" s="10" t="str">
        <f t="shared" si="44"/>
        <v>9M2023</v>
      </c>
      <c r="AD42" s="10" t="str">
        <f t="shared" si="44"/>
        <v>FY2023</v>
      </c>
      <c r="AE42" s="10" t="str">
        <f t="shared" si="44"/>
        <v>1Q 2024</v>
      </c>
      <c r="AF42" s="10" t="str">
        <f t="shared" si="44"/>
        <v>1H 2024</v>
      </c>
      <c r="AG42" s="10" t="str">
        <f t="shared" si="44"/>
        <v>9M2024</v>
      </c>
      <c r="AH42" s="10" t="str">
        <f t="shared" si="44"/>
        <v>FY2024</v>
      </c>
      <c r="AI42" s="10" t="str">
        <f t="shared" si="44"/>
        <v>1Q 2025</v>
      </c>
      <c r="AJ42" s="10" t="str">
        <f t="shared" si="44"/>
        <v>1H 2025</v>
      </c>
      <c r="AK42" s="10" t="str">
        <f t="shared" si="44"/>
        <v>9M 2025</v>
      </c>
      <c r="AL42" s="10" t="str">
        <f t="shared" si="44"/>
        <v>FY 2025</v>
      </c>
      <c r="AM42" s="83"/>
    </row>
    <row r="43" spans="1:40" ht="12.5">
      <c r="C43" s="82" t="s">
        <v>138</v>
      </c>
      <c r="D43" s="82" t="s">
        <v>139</v>
      </c>
      <c r="E43" s="82" t="s">
        <v>138</v>
      </c>
      <c r="F43" s="82" t="s">
        <v>138</v>
      </c>
      <c r="G43" s="82" t="s">
        <v>138</v>
      </c>
      <c r="H43" s="82" t="s">
        <v>138</v>
      </c>
      <c r="I43" s="82" t="s">
        <v>138</v>
      </c>
      <c r="J43" s="82" t="s">
        <v>138</v>
      </c>
      <c r="K43" s="82" t="s">
        <v>138</v>
      </c>
      <c r="L43" s="82" t="s">
        <v>138</v>
      </c>
      <c r="M43" s="82" t="s">
        <v>138</v>
      </c>
      <c r="N43" s="82" t="s">
        <v>138</v>
      </c>
      <c r="O43" s="82" t="s">
        <v>138</v>
      </c>
      <c r="P43" s="82" t="s">
        <v>138</v>
      </c>
      <c r="Q43" s="82" t="s">
        <v>138</v>
      </c>
      <c r="R43" s="82" t="s">
        <v>138</v>
      </c>
      <c r="S43" s="82" t="s">
        <v>138</v>
      </c>
      <c r="T43" s="82" t="s">
        <v>138</v>
      </c>
      <c r="U43" s="82" t="s">
        <v>138</v>
      </c>
      <c r="V43" s="82" t="s">
        <v>138</v>
      </c>
      <c r="W43" s="82" t="s">
        <v>138</v>
      </c>
      <c r="X43" s="82" t="s">
        <v>138</v>
      </c>
      <c r="Y43" s="82" t="s">
        <v>138</v>
      </c>
      <c r="Z43" s="82" t="s">
        <v>138</v>
      </c>
      <c r="AA43" s="82" t="s">
        <v>138</v>
      </c>
      <c r="AB43" s="82" t="s">
        <v>138</v>
      </c>
      <c r="AC43" s="82" t="s">
        <v>138</v>
      </c>
      <c r="AD43" s="82" t="s">
        <v>138</v>
      </c>
      <c r="AE43" s="82" t="s">
        <v>138</v>
      </c>
      <c r="AF43" s="82" t="s">
        <v>138</v>
      </c>
      <c r="AG43" s="82" t="s">
        <v>138</v>
      </c>
      <c r="AH43" s="82" t="s">
        <v>138</v>
      </c>
      <c r="AI43" s="82" t="s">
        <v>138</v>
      </c>
      <c r="AJ43" s="82" t="s">
        <v>138</v>
      </c>
      <c r="AK43" s="82" t="s">
        <v>138</v>
      </c>
      <c r="AL43" s="82" t="s">
        <v>138</v>
      </c>
      <c r="AM43" s="83"/>
    </row>
    <row r="44" spans="1:40" ht="12.5">
      <c r="X44" s="20"/>
      <c r="AB44" s="20"/>
      <c r="AC44" s="20"/>
      <c r="AD44" s="20"/>
      <c r="AF44" s="20"/>
      <c r="AG44" s="20"/>
      <c r="AH44" s="20"/>
      <c r="AJ44" s="20"/>
      <c r="AK44" s="20"/>
      <c r="AL44" s="20"/>
      <c r="AM44" s="83"/>
    </row>
    <row r="45" spans="1:40" ht="12.75" hidden="1" customHeight="1" outlineLevel="3">
      <c r="A45" s="80" t="s">
        <v>18</v>
      </c>
      <c r="B45" s="99"/>
      <c r="C45" s="78">
        <f>'Fin. Highlights - Interim'!C34</f>
        <v>-27.099999999999973</v>
      </c>
      <c r="D45" s="78" t="str">
        <f>'Fin. Highlights - Interim'!E34</f>
        <v>n.a.</v>
      </c>
      <c r="E45" s="78">
        <f>'Fin. Highlights - Interim'!G34</f>
        <v>123.79999999999998</v>
      </c>
      <c r="F45" s="78">
        <f>'Fin. Highlights - FY'!C34</f>
        <v>175.72499999999985</v>
      </c>
      <c r="G45" s="78">
        <f>'Fin. Highlights - Interim'!J34</f>
        <v>89.061000000000021</v>
      </c>
      <c r="H45" s="78">
        <f>'Fin. Highlights - Interim'!L34</f>
        <v>177.15799999999999</v>
      </c>
      <c r="I45" s="78">
        <f>'Fin. Highlights - Interim'!N34</f>
        <v>371.40000000000003</v>
      </c>
      <c r="J45" s="78">
        <f>'Fin. Highlights - Interim'!P34</f>
        <v>442.39099999999985</v>
      </c>
      <c r="K45" s="78">
        <f>'Fin. Highlights - Interim'!Q34</f>
        <v>101.41799999999998</v>
      </c>
      <c r="L45" s="78">
        <f>'Fin. Highlights - Interim'!S34</f>
        <v>307</v>
      </c>
      <c r="M45" s="78">
        <f>'Fin. Highlights - Interim'!U34</f>
        <v>385.69999999999993</v>
      </c>
      <c r="N45" s="78">
        <f>'Fin. Highlights - Interim'!W34</f>
        <v>457.65899999999999</v>
      </c>
      <c r="O45" s="78">
        <f>'Fin. Highlights - Interim'!X34</f>
        <v>38.462999999999987</v>
      </c>
      <c r="P45" s="78">
        <f>'Fin. Highlights - Interim'!Z34</f>
        <v>-101.709</v>
      </c>
      <c r="Q45" s="78">
        <f>'Fin. Highlights - Interim'!AB34</f>
        <v>-17.760000000000016</v>
      </c>
      <c r="R45" s="78">
        <f>'Fin. Highlights - Interim'!AD34</f>
        <v>42.745000000000047</v>
      </c>
      <c r="S45" s="78">
        <f>'Fin. Highlights - Interim'!AE34</f>
        <v>42.155000000000008</v>
      </c>
      <c r="T45" s="78">
        <f>'Fin. Highlights - Interim'!AG34</f>
        <v>131.55599999999998</v>
      </c>
      <c r="U45" s="78">
        <f>'Fin. Highlights - Interim'!AI34</f>
        <v>236.22500000000011</v>
      </c>
      <c r="V45" s="78">
        <f>'Fin. Highlights - Interim'!AK34</f>
        <v>321.63899999999984</v>
      </c>
      <c r="W45" s="78">
        <f>'Fin. Highlights - Interim'!AL34</f>
        <v>109.84199999999997</v>
      </c>
      <c r="X45" s="78">
        <f>'Fin. Highlights - Interim'!AN34</f>
        <v>233.03500000000008</v>
      </c>
      <c r="Y45" s="78">
        <f>'Fin. Highlights - Interim'!AP34</f>
        <v>359.25800000000004</v>
      </c>
      <c r="Z45" s="78">
        <f>'Fin. Highlights - Interim'!AR34</f>
        <v>435.89600000000007</v>
      </c>
      <c r="AA45" s="78">
        <f>'Fin. Highlights - Interim'!AS34</f>
        <v>114.97</v>
      </c>
      <c r="AB45" s="78">
        <f>'Fin. Highlights - Interim'!AU34</f>
        <v>242.57000000000002</v>
      </c>
      <c r="AC45" s="78">
        <f>'Fin. Highlights - Interim'!AW34</f>
        <v>411.0392510000039</v>
      </c>
      <c r="AD45" s="78">
        <f>'Fin. Highlights - Interim'!AY34</f>
        <v>495.90623628687035</v>
      </c>
      <c r="AE45" s="78">
        <f>'Fin. Highlights - Interim'!AZ34</f>
        <v>100.39862604289803</v>
      </c>
      <c r="AF45" s="78">
        <f>'Fin. Highlights - Interim'!BB34</f>
        <v>231.33500000000004</v>
      </c>
      <c r="AG45" s="78">
        <f>'Fin. Highlights - Interim'!BD34</f>
        <v>371.14940620770926</v>
      </c>
      <c r="AH45" s="78">
        <f>'Fin. Highlights - FY'!J34</f>
        <v>501.13917406914038</v>
      </c>
      <c r="AI45" s="78">
        <f>'Fin. Highlights - Interim'!BG34</f>
        <v>127.152435037987</v>
      </c>
      <c r="AJ45" s="78">
        <f>'Fin. Highlights - Interim'!BI34</f>
        <v>263.97257859945967</v>
      </c>
      <c r="AK45" s="78">
        <f>'Fin. Highlights - Interim'!BK34</f>
        <v>400.55371205330653</v>
      </c>
      <c r="AL45" s="78">
        <f>'Fin. Highlights - FY'!K34</f>
        <v>530.69754508722349</v>
      </c>
      <c r="AM45" s="83"/>
    </row>
    <row r="46" spans="1:40" ht="12.75" hidden="1" customHeight="1" outlineLevel="3">
      <c r="A46" s="89" t="s">
        <v>68</v>
      </c>
      <c r="B46" s="92"/>
      <c r="C46" s="48">
        <f>-'Fin. Highlights - Interim'!C33</f>
        <v>76.599999999999994</v>
      </c>
      <c r="D46" s="48" t="str">
        <f>'Fin. Highlights - Interim'!E33</f>
        <v>n.a.</v>
      </c>
      <c r="E46" s="48">
        <f>-'Fin. Highlights - Interim'!G33</f>
        <v>75</v>
      </c>
      <c r="F46" s="48">
        <f>-'Fin. Highlights - FY'!C33</f>
        <v>87.561999999999998</v>
      </c>
      <c r="G46" s="48">
        <f>-'Fin. Highlights - Interim'!J33</f>
        <v>3.339</v>
      </c>
      <c r="H46" s="48">
        <f>-'Fin. Highlights - Interim'!L33</f>
        <v>4.7419999999999991</v>
      </c>
      <c r="I46" s="48">
        <f>-'Fin. Highlights - Interim'!N33</f>
        <v>6.7</v>
      </c>
      <c r="J46" s="48">
        <f>-'Fin. Highlights - Interim'!P33</f>
        <v>6.4089999999999998</v>
      </c>
      <c r="K46" s="48">
        <f>-'Fin. Highlights - Interim'!Q33</f>
        <v>0</v>
      </c>
      <c r="L46" s="48">
        <f>-'Fin. Highlights - Interim'!S33</f>
        <v>0</v>
      </c>
      <c r="M46" s="48">
        <f>-'Fin. Highlights - Interim'!U33</f>
        <v>0</v>
      </c>
      <c r="N46" s="48">
        <f>-'Fin. Highlights - Interim'!W33</f>
        <v>0</v>
      </c>
      <c r="O46" s="48">
        <f>-'Fin. Highlights - Interim'!X33</f>
        <v>0</v>
      </c>
      <c r="P46" s="48">
        <f>-'Fin. Highlights - Interim'!Z33</f>
        <v>0</v>
      </c>
      <c r="Q46" s="48">
        <f>-'Fin. Highlights - Interim'!AB33</f>
        <v>0</v>
      </c>
      <c r="R46" s="48">
        <f>-'Fin. Highlights - Interim'!AD33</f>
        <v>0</v>
      </c>
      <c r="S46" s="48">
        <f>-'Fin. Highlights - Interim'!AE33</f>
        <v>0</v>
      </c>
      <c r="T46" s="48">
        <f>-'Fin. Highlights - Interim'!AG33</f>
        <v>0</v>
      </c>
      <c r="U46" s="48">
        <f>-'Fin. Highlights - Interim'!AI33</f>
        <v>0</v>
      </c>
      <c r="V46" s="48">
        <f>IFERROR(-'Fin. Highlights - Interim'!AK33,"n.a.")</f>
        <v>0</v>
      </c>
      <c r="W46" s="48">
        <f>-'Fin. Highlights - Interim'!AL33</f>
        <v>0</v>
      </c>
      <c r="X46" s="48">
        <f>-'Fin. Highlights - Interim'!AN33</f>
        <v>0</v>
      </c>
      <c r="Y46" s="48">
        <f>-'Fin. Highlights - Interim'!AP33</f>
        <v>0</v>
      </c>
      <c r="Z46" s="48">
        <f>IFERROR(-'Fin. Highlights - Interim'!AR33,"n.a.")</f>
        <v>0</v>
      </c>
      <c r="AA46" s="48">
        <f>-'Fin. Highlights - Interim'!AS33</f>
        <v>0</v>
      </c>
      <c r="AB46" s="48">
        <f>-'Fin. Highlights - Interim'!AU33</f>
        <v>0</v>
      </c>
      <c r="AC46" s="48">
        <f>-'Fin. Highlights - Interim'!AW33</f>
        <v>0</v>
      </c>
      <c r="AD46" s="48">
        <f>-'Fin. Highlights - Interim'!AY33</f>
        <v>0</v>
      </c>
      <c r="AE46" s="48">
        <f>-'Fin. Highlights - Interim'!AZ33</f>
        <v>0</v>
      </c>
      <c r="AF46" s="48">
        <f>-'Fin. Highlights - Interim'!BB33</f>
        <v>0</v>
      </c>
      <c r="AG46" s="48">
        <f>-'Fin. Highlights - Interim'!BD33</f>
        <v>0</v>
      </c>
      <c r="AH46" s="48">
        <f>-'Fin. Highlights - Interim'!BE33</f>
        <v>0</v>
      </c>
      <c r="AI46" s="48">
        <f>-'Fin. Highlights - Interim'!BG33</f>
        <v>0</v>
      </c>
      <c r="AJ46" s="48">
        <f>-'Fin. Highlights - Interim'!BI33</f>
        <v>0</v>
      </c>
      <c r="AK46" s="48">
        <f>-'Fin. Highlights - Interim'!BK33</f>
        <v>0</v>
      </c>
      <c r="AL46" s="48">
        <f>'Cash Flow - FY'!K38</f>
        <v>0</v>
      </c>
      <c r="AM46" s="83"/>
    </row>
    <row r="47" spans="1:40" ht="12.75" hidden="1" customHeight="1" outlineLevel="3">
      <c r="A47" s="89" t="s">
        <v>69</v>
      </c>
      <c r="B47" s="92"/>
      <c r="C47" s="48">
        <f>-'Fin. Highlights - Interim'!C30</f>
        <v>39.1</v>
      </c>
      <c r="D47" s="48">
        <f>-'Fin. Highlights - Interim'!E30</f>
        <v>11.3</v>
      </c>
      <c r="E47" s="48">
        <f>-'Fin. Highlights - Interim'!G30</f>
        <v>33.700000000000003</v>
      </c>
      <c r="F47" s="48">
        <f>-'Fin. Highlights - FY'!C30</f>
        <v>40.847999999999999</v>
      </c>
      <c r="G47" s="48">
        <f>-'Fin. Highlights - Interim'!J30</f>
        <v>37.200000000000003</v>
      </c>
      <c r="H47" s="48">
        <f>-'Fin. Highlights - Interim'!L30</f>
        <v>73.3</v>
      </c>
      <c r="I47" s="48">
        <f>-'Fin. Highlights - Interim'!N30</f>
        <v>66.7</v>
      </c>
      <c r="J47" s="48">
        <f>-'Fin. Highlights - Interim'!P30</f>
        <v>53</v>
      </c>
      <c r="K47" s="48">
        <f>-'Fin. Highlights - Interim'!Q30</f>
        <v>35.597000000000001</v>
      </c>
      <c r="L47" s="48">
        <f>-'Fin. Highlights - Interim'!S30</f>
        <v>110.1</v>
      </c>
      <c r="M47" s="48">
        <f>-'Fin. Highlights - Interim'!U30</f>
        <v>138.4</v>
      </c>
      <c r="N47" s="48">
        <f>-'Fin. Highlights - Interim'!W30</f>
        <v>164.56200000000001</v>
      </c>
      <c r="O47" s="48">
        <f>-'Fin. Highlights - Interim'!X30</f>
        <v>12.146000000000001</v>
      </c>
      <c r="P47" s="48">
        <f>-'Fin. Highlights - Interim'!Z30-0.1</f>
        <v>-32.881</v>
      </c>
      <c r="Q47" s="48">
        <f>-'Fin. Highlights - Interim'!AB30</f>
        <v>-5.9530000000000003</v>
      </c>
      <c r="R47" s="48">
        <f>-'Fin. Highlights - Interim'!AD30</f>
        <v>14.693</v>
      </c>
      <c r="S47" s="48">
        <f>-'Fin. Highlights - Interim'!AE30</f>
        <v>15.121</v>
      </c>
      <c r="T47" s="48">
        <f>-'Fin. Highlights - Interim'!AG30</f>
        <v>47.194000000000003</v>
      </c>
      <c r="U47" s="48">
        <f>-'Fin. Highlights - Interim'!AI30</f>
        <v>84.751999999999995</v>
      </c>
      <c r="V47" s="48">
        <f>IFERROR(-'Fin. Highlights - Interim'!AK30,"n.a.")</f>
        <v>115.158</v>
      </c>
      <c r="W47" s="48">
        <f>-'Fin. Highlights - Interim'!AL30</f>
        <v>39.950000000000003</v>
      </c>
      <c r="X47" s="48">
        <f>-'Fin. Highlights - Interim'!AN30</f>
        <v>84.914000000000001</v>
      </c>
      <c r="Y47" s="48">
        <f>-'Fin. Highlights - Interim'!AP30</f>
        <v>130.881</v>
      </c>
      <c r="Z47" s="48">
        <f>IFERROR(-'Fin. Highlights - Interim'!AR30,"n.a.")</f>
        <v>159.73400000000001</v>
      </c>
      <c r="AA47" s="48">
        <f>-'Fin. Highlights - Interim'!AS30</f>
        <v>45.828000000000003</v>
      </c>
      <c r="AB47" s="48">
        <f>-'Fin. Highlights - Interim'!AU30</f>
        <v>96.71</v>
      </c>
      <c r="AC47" s="48">
        <f>-'Fin. Highlights - Interim'!AW30</f>
        <v>115.977</v>
      </c>
      <c r="AD47" s="48">
        <f>-'Fin. Highlights - Interim'!AY30</f>
        <v>134.19818087089402</v>
      </c>
      <c r="AE47" s="48">
        <f>-'Fin. Highlights - Interim'!AZ30</f>
        <v>21.997886317374018</v>
      </c>
      <c r="AF47" s="48">
        <f>-'Fin. Highlights - Interim'!BB30</f>
        <v>75.055999999999997</v>
      </c>
      <c r="AG47" s="48">
        <f>-'Fin. Highlights - Interim'!BD30</f>
        <v>133.65589413956906</v>
      </c>
      <c r="AH47" s="48">
        <f>-'Fin. Highlights - FY'!J30</f>
        <v>146.65420056539722</v>
      </c>
      <c r="AI47" s="48">
        <f>-'Fin. Highlights - Interim'!BG30</f>
        <v>59.021367751701</v>
      </c>
      <c r="AJ47" s="48">
        <f>-'Fin. Highlights - Interim'!BI30</f>
        <v>108.877907362144</v>
      </c>
      <c r="AK47" s="48">
        <f>-'Fin. Highlights - Interim'!BK30</f>
        <v>171.70903943181702</v>
      </c>
      <c r="AL47" s="48">
        <f>'Cash Flow - FY'!K39</f>
        <v>229.46592586071301</v>
      </c>
      <c r="AM47" s="83"/>
    </row>
    <row r="48" spans="1:40" ht="12.75" hidden="1" customHeight="1" outlineLevel="2">
      <c r="A48" s="81" t="s">
        <v>76</v>
      </c>
      <c r="B48" s="100"/>
      <c r="C48" s="101">
        <f>IFERROR(C45+C46+C47,"n.a.")</f>
        <v>88.600000000000023</v>
      </c>
      <c r="D48" s="101">
        <f>SUM(D45,D47,0.026)</f>
        <v>11.326000000000001</v>
      </c>
      <c r="E48" s="101">
        <f>IFERROR(E45+E46+E47,"n.a.")</f>
        <v>232.5</v>
      </c>
      <c r="F48" s="101">
        <f>IFERROR(F45+F46+F47,"n.a.")</f>
        <v>304.13499999999988</v>
      </c>
      <c r="G48" s="101">
        <f>IFERROR(G45+G46+G47,"n.a.")</f>
        <v>129.60000000000002</v>
      </c>
      <c r="H48" s="101">
        <f>IFERROR(H45+H46+H47+0.023,"n.a.")</f>
        <v>255.22299999999998</v>
      </c>
      <c r="I48" s="101">
        <f>IFERROR(I45+I46+I47-0.013,"n.a.")</f>
        <v>444.78700000000003</v>
      </c>
      <c r="J48" s="101">
        <f>IFERROR(J45+J46+J47,"n.a.")</f>
        <v>501.79999999999984</v>
      </c>
      <c r="K48" s="101">
        <f>IFERROR(K45+K46+K47+0.019,"n.a.")</f>
        <v>137.03399999999999</v>
      </c>
      <c r="L48" s="101">
        <f>IFERROR(L45+L46+L47+0.01,"n.a.")</f>
        <v>417.11</v>
      </c>
      <c r="M48" s="101">
        <f>IFERROR(M45+M46+M47-0.037,"n.a.")</f>
        <v>524.06299999999987</v>
      </c>
      <c r="N48" s="101">
        <f>IFERROR(N45+N46+N47+0.038,"n.a.")</f>
        <v>622.25900000000001</v>
      </c>
      <c r="O48" s="101">
        <f>IFERROR(O45+O46+O47+0.001,"n.a.")</f>
        <v>50.609999999999985</v>
      </c>
      <c r="P48" s="101">
        <f>IFERROR(P45+P46+P47,"n.a.")</f>
        <v>-134.59</v>
      </c>
      <c r="Q48" s="101">
        <f>IFERROR(Q45+Q46+Q47-0.05,"n.a.")</f>
        <v>-23.763000000000016</v>
      </c>
      <c r="R48" s="101">
        <f>IFERROR(R45+R46+R47-0.072,"n.a.")</f>
        <v>57.366000000000042</v>
      </c>
      <c r="S48" s="101">
        <f>IFERROR(S45+S46+S47+0.034,"n.a.")</f>
        <v>57.310000000000009</v>
      </c>
      <c r="T48" s="101">
        <f>IFERROR(T45+T46+T47-0.016,"n.a.")</f>
        <v>178.73400000000001</v>
      </c>
      <c r="U48" s="101">
        <f>IFERROR(U45+U46+U47,"n.a.")</f>
        <v>320.97700000000009</v>
      </c>
      <c r="V48" s="101">
        <f>IFERROR(V45+V46+V47,"n.a.")</f>
        <v>436.79699999999985</v>
      </c>
      <c r="W48" s="101">
        <f>IFERROR(W45+W46+W47,"n.a.")</f>
        <v>149.79199999999997</v>
      </c>
      <c r="X48" s="101">
        <f>IFERROR(X45+X46+X47,"n.a.")</f>
        <v>317.94900000000007</v>
      </c>
      <c r="Y48" s="101">
        <f>IFERROR(Y45+Y46+Y47+0.1,"n.a.")</f>
        <v>490.23900000000003</v>
      </c>
      <c r="Z48" s="101">
        <f t="shared" ref="Z48:AE48" si="45">IFERROR(Z45+Z46+Z47,"n.a.")</f>
        <v>595.63000000000011</v>
      </c>
      <c r="AA48" s="101">
        <f t="shared" si="45"/>
        <v>160.798</v>
      </c>
      <c r="AB48" s="101">
        <f t="shared" si="45"/>
        <v>339.28000000000003</v>
      </c>
      <c r="AC48" s="101">
        <f t="shared" si="45"/>
        <v>527.01625100000388</v>
      </c>
      <c r="AD48" s="101">
        <f t="shared" si="45"/>
        <v>630.10441715776437</v>
      </c>
      <c r="AE48" s="101">
        <f t="shared" si="45"/>
        <v>122.39651236027206</v>
      </c>
      <c r="AF48" s="101">
        <f t="shared" ref="AF48:AG48" si="46">IFERROR(AF45+AF46+AF47,"n.a.")</f>
        <v>306.39100000000002</v>
      </c>
      <c r="AG48" s="101">
        <f t="shared" si="46"/>
        <v>504.80530034727832</v>
      </c>
      <c r="AH48" s="101">
        <f t="shared" ref="AH48:AJ48" si="47">IFERROR(AH45+AH46+AH47,"n.a.")</f>
        <v>647.7933746345376</v>
      </c>
      <c r="AI48" s="101">
        <f t="shared" si="47"/>
        <v>186.17380278968801</v>
      </c>
      <c r="AJ48" s="101">
        <f t="shared" si="47"/>
        <v>372.85048596160368</v>
      </c>
      <c r="AK48" s="101">
        <f t="shared" ref="AK48:AL48" si="48">IFERROR(AK45+AK46+AK47,"n.a.")</f>
        <v>572.26275148512354</v>
      </c>
      <c r="AL48" s="101">
        <f t="shared" si="48"/>
        <v>760.1634709479365</v>
      </c>
      <c r="AM48" s="83"/>
    </row>
    <row r="49" spans="1:40" ht="12.5" hidden="1" outlineLevel="2">
      <c r="A49" s="85" t="s">
        <v>70</v>
      </c>
      <c r="B49" s="92"/>
      <c r="C49" s="24">
        <v>91.894999999999996</v>
      </c>
      <c r="D49" s="24">
        <v>182.52</v>
      </c>
      <c r="E49" s="24">
        <v>275.226</v>
      </c>
      <c r="F49" s="48">
        <f>'Cash Flow - FY'!C41</f>
        <v>371.45699999999999</v>
      </c>
      <c r="G49" s="24">
        <v>98.203999999999994</v>
      </c>
      <c r="H49" s="24">
        <v>195.107</v>
      </c>
      <c r="I49" s="24">
        <v>293.57299999999998</v>
      </c>
      <c r="J49" s="48">
        <f>'Cash Flow - FY'!D41</f>
        <v>414.52300000000002</v>
      </c>
      <c r="K49" s="24">
        <v>124.88500000000001</v>
      </c>
      <c r="L49" s="24">
        <v>268.21100000000001</v>
      </c>
      <c r="M49" s="24">
        <v>394.50099999999998</v>
      </c>
      <c r="N49" s="48">
        <f>'Cash Flow - FY'!E41</f>
        <v>527.81799999999998</v>
      </c>
      <c r="O49" s="24">
        <v>133.47499999999999</v>
      </c>
      <c r="P49" s="24">
        <v>261.327</v>
      </c>
      <c r="Q49" s="24">
        <v>386.10399999999998</v>
      </c>
      <c r="R49" s="48">
        <f>'Cash Flow - FY'!F41</f>
        <v>517.15200000000004</v>
      </c>
      <c r="S49" s="24">
        <v>126.35599999999999</v>
      </c>
      <c r="T49" s="24">
        <v>254.70099999999999</v>
      </c>
      <c r="U49" s="24">
        <v>382.07299999999998</v>
      </c>
      <c r="V49" s="48">
        <f>'Cash Flow - FY'!G41</f>
        <v>517.19200000000001</v>
      </c>
      <c r="W49" s="24">
        <v>133.14099999999999</v>
      </c>
      <c r="X49" s="24">
        <v>271.63099999999997</v>
      </c>
      <c r="Y49" s="24">
        <v>411.892</v>
      </c>
      <c r="Z49" s="48">
        <f>'Cash Flow - FY'!H41</f>
        <v>566.68899999999996</v>
      </c>
      <c r="AA49" s="24">
        <v>140.04</v>
      </c>
      <c r="AB49" s="24">
        <v>278.697</v>
      </c>
      <c r="AC49" s="24">
        <v>418.37200000000001</v>
      </c>
      <c r="AD49" s="48">
        <f>+'Cash Flow - FY'!I41</f>
        <v>588.46299999999997</v>
      </c>
      <c r="AE49" s="24">
        <v>141.631</v>
      </c>
      <c r="AF49" s="24">
        <v>285.71899999999999</v>
      </c>
      <c r="AG49" s="24">
        <v>426.07100000000003</v>
      </c>
      <c r="AH49" s="48">
        <f>'Cash Flow - FY'!J41</f>
        <v>574.95000000000005</v>
      </c>
      <c r="AI49" s="24">
        <v>148.03299999999999</v>
      </c>
      <c r="AJ49" s="24">
        <v>292.49400000000003</v>
      </c>
      <c r="AK49" s="24">
        <v>438.92599999999999</v>
      </c>
      <c r="AL49" s="48">
        <f>'Cash Flow - FY'!K41</f>
        <v>589.79700000000003</v>
      </c>
      <c r="AM49" s="83"/>
    </row>
    <row r="50" spans="1:40" ht="12.5" hidden="1" outlineLevel="2">
      <c r="A50" s="85" t="s">
        <v>255</v>
      </c>
      <c r="B50" s="92"/>
      <c r="C50" s="51">
        <f t="shared" ref="C50:N50" si="49">IFERROR(C51+C52,"n.a.")</f>
        <v>76.962999999999994</v>
      </c>
      <c r="D50" s="51">
        <f t="shared" si="49"/>
        <v>226.35599999999999</v>
      </c>
      <c r="E50" s="51">
        <f t="shared" si="49"/>
        <v>289.94799999999998</v>
      </c>
      <c r="F50" s="51">
        <f t="shared" si="49"/>
        <v>362.61</v>
      </c>
      <c r="G50" s="51">
        <f t="shared" si="49"/>
        <v>55.185000000000002</v>
      </c>
      <c r="H50" s="51">
        <f t="shared" si="49"/>
        <v>117.946</v>
      </c>
      <c r="I50" s="51">
        <f t="shared" si="49"/>
        <v>138.79900000000001</v>
      </c>
      <c r="J50" s="51">
        <f t="shared" si="49"/>
        <v>196.31100000000001</v>
      </c>
      <c r="K50" s="51">
        <f t="shared" si="49"/>
        <v>48.051000000000002</v>
      </c>
      <c r="L50" s="51">
        <f t="shared" si="49"/>
        <v>10.042999999999992</v>
      </c>
      <c r="M50" s="51">
        <f t="shared" si="49"/>
        <v>75.166000000000011</v>
      </c>
      <c r="N50" s="51">
        <f t="shared" si="49"/>
        <v>109.47900000000001</v>
      </c>
      <c r="O50" s="51">
        <f>IFERROR(O51+O52,"n.a.")</f>
        <v>32.472999999999985</v>
      </c>
      <c r="P50" s="51">
        <f>IFERROR(P51+P52,"n.a.")</f>
        <v>73.150000000000006</v>
      </c>
      <c r="Q50" s="51">
        <f>IFERROR(Q51+Q52,"n.a.")</f>
        <v>113.31700000000001</v>
      </c>
      <c r="R50" s="48">
        <f>'Cash Flow - FY'!F42</f>
        <v>156.50200000000001</v>
      </c>
      <c r="S50" s="24">
        <v>40.002000000000002</v>
      </c>
      <c r="T50" s="24">
        <v>71.841999999999999</v>
      </c>
      <c r="U50" s="24">
        <v>106.952</v>
      </c>
      <c r="V50" s="48">
        <f>'Cash Flow - FY'!G42</f>
        <v>144.28100000000001</v>
      </c>
      <c r="W50" s="24">
        <v>43.581000000000003</v>
      </c>
      <c r="X50" s="24">
        <v>89.593000000000004</v>
      </c>
      <c r="Y50" s="24">
        <v>145.11199999999999</v>
      </c>
      <c r="Z50" s="48">
        <f>'Cash Flow - FY'!H42</f>
        <v>201.696</v>
      </c>
      <c r="AA50" s="24">
        <v>52.249000000000002</v>
      </c>
      <c r="AB50" s="24">
        <v>106.846</v>
      </c>
      <c r="AC50" s="24">
        <v>150.13300000000001</v>
      </c>
      <c r="AD50" s="48">
        <f>+'Cash Flow - FY'!I42</f>
        <v>194.10300000000001</v>
      </c>
      <c r="AE50" s="24">
        <v>110.13200000000001</v>
      </c>
      <c r="AF50" s="24">
        <v>176.17099999999999</v>
      </c>
      <c r="AG50" s="24">
        <v>225.505</v>
      </c>
      <c r="AH50" s="48">
        <f>'Cash Flow - FY'!J42</f>
        <v>286.58499999999998</v>
      </c>
      <c r="AI50" s="24">
        <v>59.497999999999998</v>
      </c>
      <c r="AJ50" s="24">
        <v>122.738</v>
      </c>
      <c r="AK50" s="24">
        <v>158.85599999999999</v>
      </c>
      <c r="AL50" s="48">
        <f>'Cash Flow - FY'!K42</f>
        <v>183.74799999999999</v>
      </c>
      <c r="AM50" s="83"/>
    </row>
    <row r="51" spans="1:40" ht="12.5" hidden="1" outlineLevel="3">
      <c r="A51" s="85" t="s">
        <v>71</v>
      </c>
      <c r="B51" s="92"/>
      <c r="C51" s="24">
        <v>135.523</v>
      </c>
      <c r="D51" s="24">
        <v>322.863</v>
      </c>
      <c r="E51" s="24">
        <v>443.666</v>
      </c>
      <c r="F51" s="48">
        <f>'Cash Flow - FY'!C43</f>
        <v>491.15</v>
      </c>
      <c r="G51" s="24">
        <v>97.045000000000002</v>
      </c>
      <c r="H51" s="24">
        <v>191.001</v>
      </c>
      <c r="I51" s="24">
        <v>249.65700000000001</v>
      </c>
      <c r="J51" s="48">
        <f>'Cash Flow - FY'!D43</f>
        <v>255.173</v>
      </c>
      <c r="K51" s="24">
        <v>66.918000000000006</v>
      </c>
      <c r="L51" s="24">
        <v>131.13999999999999</v>
      </c>
      <c r="M51" s="24">
        <v>188.71</v>
      </c>
      <c r="N51" s="48">
        <f>'Cash Flow - FY'!E43</f>
        <v>238.24</v>
      </c>
      <c r="O51" s="24">
        <v>191.023</v>
      </c>
      <c r="P51" s="24">
        <v>240.166</v>
      </c>
      <c r="Q51" s="24">
        <v>303.82400000000001</v>
      </c>
      <c r="R51" s="48" t="str">
        <f>'Cash Flow - FY'!F43</f>
        <v>n.a.</v>
      </c>
      <c r="S51" s="24" t="s">
        <v>164</v>
      </c>
      <c r="T51" s="24" t="s">
        <v>164</v>
      </c>
      <c r="U51" s="24" t="s">
        <v>164</v>
      </c>
      <c r="V51" s="48" t="str">
        <f>'Cash Flow - FY'!G43</f>
        <v>n.a.</v>
      </c>
      <c r="W51" s="24" t="s">
        <v>164</v>
      </c>
      <c r="X51" s="24" t="s">
        <v>164</v>
      </c>
      <c r="Y51" s="24" t="s">
        <v>164</v>
      </c>
      <c r="Z51" s="48" t="str">
        <f>'Cash Flow - FY'!H43</f>
        <v>n.a.</v>
      </c>
      <c r="AA51" s="24" t="s">
        <v>164</v>
      </c>
      <c r="AB51" s="24" t="s">
        <v>164</v>
      </c>
      <c r="AC51" s="24" t="s">
        <v>164</v>
      </c>
      <c r="AD51" s="48" t="s">
        <v>164</v>
      </c>
      <c r="AE51" s="24" t="s">
        <v>164</v>
      </c>
      <c r="AF51" s="24" t="s">
        <v>164</v>
      </c>
      <c r="AG51" s="24" t="s">
        <v>164</v>
      </c>
      <c r="AH51" s="48" t="str">
        <f>'Cash Flow - FY'!J43</f>
        <v>n.a.</v>
      </c>
      <c r="AI51" s="24" t="s">
        <v>164</v>
      </c>
      <c r="AJ51" s="24" t="s">
        <v>164</v>
      </c>
      <c r="AK51" s="24" t="s">
        <v>164</v>
      </c>
      <c r="AL51" s="48" t="str">
        <f>'Cash Flow - FY'!K43</f>
        <v>n.a.</v>
      </c>
      <c r="AM51" s="83"/>
    </row>
    <row r="52" spans="1:40" ht="13" hidden="1" outlineLevel="3">
      <c r="A52" s="85" t="s">
        <v>72</v>
      </c>
      <c r="B52" s="92"/>
      <c r="C52" s="24">
        <v>-58.56</v>
      </c>
      <c r="D52" s="24">
        <v>-96.507000000000005</v>
      </c>
      <c r="E52" s="24">
        <v>-153.71799999999999</v>
      </c>
      <c r="F52" s="48">
        <f>'Cash Flow - FY'!C44</f>
        <v>-128.54</v>
      </c>
      <c r="G52" s="24">
        <v>-41.86</v>
      </c>
      <c r="H52" s="24">
        <v>-73.055000000000007</v>
      </c>
      <c r="I52" s="24">
        <v>-110.858</v>
      </c>
      <c r="J52" s="48">
        <f>'Cash Flow - FY'!D44</f>
        <v>-58.862000000000002</v>
      </c>
      <c r="K52" s="24">
        <v>-18.867000000000001</v>
      </c>
      <c r="L52" s="24">
        <v>-121.09699999999999</v>
      </c>
      <c r="M52" s="24">
        <v>-113.544</v>
      </c>
      <c r="N52" s="48">
        <f>'Cash Flow - FY'!E44</f>
        <v>-128.761</v>
      </c>
      <c r="O52" s="24">
        <v>-158.55000000000001</v>
      </c>
      <c r="P52" s="24">
        <v>-167.01599999999999</v>
      </c>
      <c r="Q52" s="24">
        <v>-190.50700000000001</v>
      </c>
      <c r="R52" s="48" t="str">
        <f>'Cash Flow - FY'!F44</f>
        <v>n.a.</v>
      </c>
      <c r="S52" s="24" t="s">
        <v>164</v>
      </c>
      <c r="T52" s="24" t="s">
        <v>164</v>
      </c>
      <c r="U52" s="24" t="s">
        <v>164</v>
      </c>
      <c r="V52" s="48" t="str">
        <f>'Cash Flow - FY'!G44</f>
        <v>n.a.</v>
      </c>
      <c r="W52" s="24" t="s">
        <v>164</v>
      </c>
      <c r="X52" s="24" t="s">
        <v>164</v>
      </c>
      <c r="Y52" s="24" t="s">
        <v>164</v>
      </c>
      <c r="Z52" s="48" t="str">
        <f>'Cash Flow - FY'!H44</f>
        <v>n.a.</v>
      </c>
      <c r="AA52" s="24" t="s">
        <v>164</v>
      </c>
      <c r="AB52" s="24" t="s">
        <v>164</v>
      </c>
      <c r="AC52" s="24" t="s">
        <v>164</v>
      </c>
      <c r="AD52" s="48" t="s">
        <v>164</v>
      </c>
      <c r="AE52" s="24" t="s">
        <v>164</v>
      </c>
      <c r="AF52" s="24" t="s">
        <v>164</v>
      </c>
      <c r="AG52" s="24" t="s">
        <v>164</v>
      </c>
      <c r="AH52" s="48" t="str">
        <f>'Cash Flow - FY'!J44</f>
        <v>n.a.</v>
      </c>
      <c r="AI52" s="24" t="s">
        <v>164</v>
      </c>
      <c r="AJ52" s="24" t="s">
        <v>164</v>
      </c>
      <c r="AK52" s="24" t="s">
        <v>164</v>
      </c>
      <c r="AL52" s="48" t="str">
        <f>'Cash Flow - FY'!K44</f>
        <v>n.a.</v>
      </c>
      <c r="AM52" s="14"/>
      <c r="AN52" s="177"/>
    </row>
    <row r="53" spans="1:40" ht="12.5" hidden="1" outlineLevel="2">
      <c r="A53" s="85" t="s">
        <v>73</v>
      </c>
      <c r="B53" s="92"/>
      <c r="C53" s="24">
        <v>0</v>
      </c>
      <c r="D53" s="24">
        <v>-4.8000000000000001E-2</v>
      </c>
      <c r="E53" s="24">
        <v>-0.13700000000000001</v>
      </c>
      <c r="F53" s="48">
        <f>'Cash Flow - FY'!C45</f>
        <v>-9.8339999999999996</v>
      </c>
      <c r="G53" s="24">
        <v>0</v>
      </c>
      <c r="H53" s="24">
        <v>-0.59599999999999997</v>
      </c>
      <c r="I53" s="24">
        <v>-1.6719999999999999</v>
      </c>
      <c r="J53" s="48">
        <f>'Cash Flow - FY'!D45</f>
        <v>-4.1760000000000002</v>
      </c>
      <c r="K53" s="24">
        <v>0</v>
      </c>
      <c r="L53" s="24">
        <v>-1.724</v>
      </c>
      <c r="M53" s="24">
        <v>-4.556</v>
      </c>
      <c r="N53" s="48">
        <f>'Cash Flow - FY'!E45</f>
        <v>-5.5259999999999998</v>
      </c>
      <c r="O53" s="24">
        <v>0</v>
      </c>
      <c r="P53" s="24">
        <v>-6.5000000000000002E-2</v>
      </c>
      <c r="Q53" s="24">
        <v>-6.5000000000000002E-2</v>
      </c>
      <c r="R53" s="48">
        <f>'Cash Flow - FY'!F45</f>
        <v>-6.5000000000000002E-2</v>
      </c>
      <c r="S53" s="24">
        <v>-1E-3</v>
      </c>
      <c r="T53" s="24">
        <v>-0.96099999999999997</v>
      </c>
      <c r="U53" s="24">
        <v>-0.97199999999999998</v>
      </c>
      <c r="V53" s="48">
        <f>'Cash Flow - FY'!G45</f>
        <v>-2.274</v>
      </c>
      <c r="W53" s="24">
        <v>0</v>
      </c>
      <c r="X53" s="24">
        <v>-1.554</v>
      </c>
      <c r="Y53" s="24">
        <v>-1.5549999999999999</v>
      </c>
      <c r="Z53" s="48">
        <f>'Cash Flow - FY'!H45</f>
        <v>-3.0510000000000002</v>
      </c>
      <c r="AA53" s="24">
        <v>0</v>
      </c>
      <c r="AB53" s="24">
        <v>-1.552</v>
      </c>
      <c r="AC53" s="24">
        <v>-2.2839999999999998</v>
      </c>
      <c r="AD53" s="48">
        <f>+'Cash Flow - FY'!I45</f>
        <v>-4.2690000000000001</v>
      </c>
      <c r="AE53" s="24">
        <v>0</v>
      </c>
      <c r="AF53" s="24">
        <v>-1.8220000000000001</v>
      </c>
      <c r="AG53" s="24">
        <v>-1.8220000000000001</v>
      </c>
      <c r="AH53" s="48">
        <f>'Cash Flow - FY'!J45</f>
        <v>-3.9319999999999999</v>
      </c>
      <c r="AI53" s="24">
        <v>-0.23599999999999999</v>
      </c>
      <c r="AJ53" s="24">
        <v>-1.978</v>
      </c>
      <c r="AK53" s="24">
        <v>-2.6640000000000001</v>
      </c>
      <c r="AL53" s="48">
        <f>'Cash Flow - FY'!K45</f>
        <v>-34.343000000000004</v>
      </c>
      <c r="AM53" s="83"/>
    </row>
    <row r="54" spans="1:40" ht="12.5" hidden="1" outlineLevel="2">
      <c r="A54" s="85" t="s">
        <v>74</v>
      </c>
      <c r="B54" s="92"/>
      <c r="C54" s="24">
        <v>-6.5000000000000002E-2</v>
      </c>
      <c r="D54" s="24">
        <v>7.3689999999999998</v>
      </c>
      <c r="E54" s="24">
        <v>10.071999999999999</v>
      </c>
      <c r="F54" s="48">
        <f>'Cash Flow - FY'!C46</f>
        <v>8.4369999999999994</v>
      </c>
      <c r="G54" s="24">
        <v>-4.01</v>
      </c>
      <c r="H54" s="24">
        <v>-3.133</v>
      </c>
      <c r="I54" s="24">
        <v>-2.4020000000000001</v>
      </c>
      <c r="J54" s="48">
        <f>'Cash Flow - FY'!D46</f>
        <v>-2.4039999999999999</v>
      </c>
      <c r="K54" s="24">
        <v>-1.6819999999999999</v>
      </c>
      <c r="L54" s="24">
        <v>-1.7869999999999999</v>
      </c>
      <c r="M54" s="24">
        <v>-1.6830000000000001</v>
      </c>
      <c r="N54" s="48">
        <f>'Cash Flow - FY'!E46</f>
        <v>6.8540000000000001</v>
      </c>
      <c r="O54" s="24">
        <v>0.85299999999999998</v>
      </c>
      <c r="P54" s="24">
        <v>0.84699999999999998</v>
      </c>
      <c r="Q54" s="24">
        <v>0.84699999999999998</v>
      </c>
      <c r="R54" s="48">
        <f>'Cash Flow - FY'!F46</f>
        <v>-0.29299999999999998</v>
      </c>
      <c r="S54" s="24">
        <v>5.0000000000000001E-3</v>
      </c>
      <c r="T54" s="24">
        <v>-1.6E-2</v>
      </c>
      <c r="U54" s="24">
        <v>-1.0999999999999999E-2</v>
      </c>
      <c r="V54" s="48">
        <f>'Cash Flow - FY'!G46</f>
        <v>-7.0000000000000001E-3</v>
      </c>
      <c r="W54" s="24">
        <v>0</v>
      </c>
      <c r="X54" s="24">
        <v>0.106</v>
      </c>
      <c r="Y54" s="24">
        <v>0.11799999999999999</v>
      </c>
      <c r="Z54" s="48">
        <f>'Cash Flow - FY'!H46</f>
        <v>0.123</v>
      </c>
      <c r="AA54" s="24">
        <v>-0.13300000000000001</v>
      </c>
      <c r="AB54" s="24">
        <v>-0.13300000000000001</v>
      </c>
      <c r="AC54" s="24">
        <v>-0.13300000000000001</v>
      </c>
      <c r="AD54" s="48">
        <f>+'Cash Flow - FY'!I46</f>
        <v>3.5999999999999997E-2</v>
      </c>
      <c r="AE54" s="24">
        <v>0</v>
      </c>
      <c r="AF54" s="24">
        <v>0</v>
      </c>
      <c r="AG54" s="24">
        <v>0</v>
      </c>
      <c r="AH54" s="48">
        <f>'Cash Flow - FY'!J46</f>
        <v>3.5999999999999997E-2</v>
      </c>
      <c r="AI54" s="24">
        <v>0</v>
      </c>
      <c r="AJ54" s="24">
        <v>-2.9039999999999999</v>
      </c>
      <c r="AK54" s="24">
        <v>-2.883</v>
      </c>
      <c r="AL54" s="48">
        <f>'Cash Flow - FY'!K46</f>
        <v>-2.2730000000000001</v>
      </c>
      <c r="AM54" s="83"/>
    </row>
    <row r="55" spans="1:40" ht="12.5" hidden="1" outlineLevel="2">
      <c r="A55" s="85" t="s">
        <v>75</v>
      </c>
      <c r="B55" s="92"/>
      <c r="C55" s="24">
        <v>3.2</v>
      </c>
      <c r="D55" s="24">
        <v>5.56</v>
      </c>
      <c r="E55" s="24">
        <v>8.6560000000000006</v>
      </c>
      <c r="F55" s="48">
        <f>'Cash Flow - FY'!C47</f>
        <v>8.2520000000000007</v>
      </c>
      <c r="G55" s="24">
        <v>3.2370000000000001</v>
      </c>
      <c r="H55" s="24">
        <v>8.2579999999999991</v>
      </c>
      <c r="I55" s="24">
        <v>11.9</v>
      </c>
      <c r="J55" s="48">
        <f>'Cash Flow - FY'!D47</f>
        <v>11.56</v>
      </c>
      <c r="K55" s="24">
        <v>-0.33</v>
      </c>
      <c r="L55" s="24">
        <v>1.355</v>
      </c>
      <c r="M55" s="24">
        <v>4.8689999999999998</v>
      </c>
      <c r="N55" s="48">
        <f>'Cash Flow - FY'!E47</f>
        <v>9.6780000000000008</v>
      </c>
      <c r="O55" s="24">
        <v>4.4349999999999996</v>
      </c>
      <c r="P55" s="24">
        <v>3.851</v>
      </c>
      <c r="Q55" s="24">
        <v>5.3259999999999996</v>
      </c>
      <c r="R55" s="48">
        <f>'Cash Flow - FY'!F47</f>
        <v>5.6289999999999996</v>
      </c>
      <c r="S55" s="24">
        <v>8.7999999999999995E-2</v>
      </c>
      <c r="T55" s="24">
        <v>-0.995</v>
      </c>
      <c r="U55" s="24">
        <v>-0.63</v>
      </c>
      <c r="V55" s="48">
        <f>'Cash Flow - FY'!G47</f>
        <v>-1.6970000000000001</v>
      </c>
      <c r="W55" s="24">
        <v>-0.76900000000000002</v>
      </c>
      <c r="X55" s="24">
        <v>-0.873</v>
      </c>
      <c r="Y55" s="24">
        <v>-1.65</v>
      </c>
      <c r="Z55" s="48">
        <f>'Cash Flow - FY'!H47</f>
        <v>-2.92</v>
      </c>
      <c r="AA55" s="24">
        <v>-2.19</v>
      </c>
      <c r="AB55" s="24">
        <v>-4.5270000000000001</v>
      </c>
      <c r="AC55" s="24">
        <v>-6.4649999999999999</v>
      </c>
      <c r="AD55" s="48">
        <f>+'Cash Flow - FY'!I47</f>
        <v>-11.646000000000001</v>
      </c>
      <c r="AE55" s="24">
        <v>-6.0810000000000004</v>
      </c>
      <c r="AF55" s="24">
        <v>-14.073</v>
      </c>
      <c r="AG55" s="24">
        <v>-20.693999999999999</v>
      </c>
      <c r="AH55" s="48">
        <f>'Cash Flow - FY'!J47</f>
        <v>-27.456</v>
      </c>
      <c r="AI55" s="24">
        <v>-5.5810000000000004</v>
      </c>
      <c r="AJ55" s="24">
        <v>-11.102</v>
      </c>
      <c r="AK55" s="24">
        <v>-17.254999999999999</v>
      </c>
      <c r="AL55" s="48">
        <f>'Cash Flow - FY'!K47</f>
        <v>-16.091000000000001</v>
      </c>
      <c r="AM55" s="83"/>
    </row>
    <row r="56" spans="1:40" s="14" customFormat="1" ht="13" hidden="1" outlineLevel="1">
      <c r="A56" s="57" t="s">
        <v>87</v>
      </c>
      <c r="B56" s="100"/>
      <c r="C56" s="101">
        <f>IFERROR(C48+C49+C50+C53+C54+C55,"n.a.")</f>
        <v>260.59299999999996</v>
      </c>
      <c r="D56" s="101">
        <f t="shared" ref="D56:AK56" si="50">IFERROR(D48+D49+D50+D53+D54+D55,"n.a.")</f>
        <v>433.08300000000003</v>
      </c>
      <c r="E56" s="101">
        <f t="shared" si="50"/>
        <v>816.26499999999999</v>
      </c>
      <c r="F56" s="101">
        <f t="shared" si="50"/>
        <v>1045.0569999999996</v>
      </c>
      <c r="G56" s="101">
        <f t="shared" si="50"/>
        <v>282.21600000000007</v>
      </c>
      <c r="H56" s="101">
        <f t="shared" si="50"/>
        <v>572.80499999999995</v>
      </c>
      <c r="I56" s="101">
        <f t="shared" si="50"/>
        <v>884.9849999999999</v>
      </c>
      <c r="J56" s="101">
        <f t="shared" si="50"/>
        <v>1117.6139999999998</v>
      </c>
      <c r="K56" s="101">
        <f t="shared" si="50"/>
        <v>307.95799999999997</v>
      </c>
      <c r="L56" s="101">
        <f t="shared" si="50"/>
        <v>693.20799999999997</v>
      </c>
      <c r="M56" s="101">
        <f t="shared" si="50"/>
        <v>992.3599999999999</v>
      </c>
      <c r="N56" s="101">
        <f t="shared" si="50"/>
        <v>1270.5620000000001</v>
      </c>
      <c r="O56" s="101">
        <f t="shared" si="50"/>
        <v>221.84599999999998</v>
      </c>
      <c r="P56" s="101">
        <f t="shared" si="50"/>
        <v>204.52</v>
      </c>
      <c r="Q56" s="101">
        <f t="shared" si="50"/>
        <v>481.76599999999996</v>
      </c>
      <c r="R56" s="101">
        <f t="shared" si="50"/>
        <v>736.29099999999994</v>
      </c>
      <c r="S56" s="101">
        <f t="shared" si="50"/>
        <v>223.76</v>
      </c>
      <c r="T56" s="101">
        <f t="shared" si="50"/>
        <v>503.30499999999995</v>
      </c>
      <c r="U56" s="101">
        <f t="shared" si="50"/>
        <v>808.38900000000012</v>
      </c>
      <c r="V56" s="101">
        <f t="shared" si="50"/>
        <v>1094.2919999999999</v>
      </c>
      <c r="W56" s="101">
        <f t="shared" si="50"/>
        <v>325.745</v>
      </c>
      <c r="X56" s="101">
        <f t="shared" si="50"/>
        <v>676.85199999999998</v>
      </c>
      <c r="Y56" s="101">
        <f t="shared" si="50"/>
        <v>1044.1559999999999</v>
      </c>
      <c r="Z56" s="101">
        <f t="shared" si="50"/>
        <v>1358.1669999999999</v>
      </c>
      <c r="AA56" s="101">
        <f t="shared" si="50"/>
        <v>350.76400000000001</v>
      </c>
      <c r="AB56" s="101">
        <f t="shared" si="50"/>
        <v>718.61099999999999</v>
      </c>
      <c r="AC56" s="101">
        <f t="shared" si="50"/>
        <v>1086.6392510000039</v>
      </c>
      <c r="AD56" s="101">
        <f t="shared" si="50"/>
        <v>1396.7914171577645</v>
      </c>
      <c r="AE56" s="101">
        <f t="shared" si="50"/>
        <v>368.07851236027204</v>
      </c>
      <c r="AF56" s="101">
        <f t="shared" si="50"/>
        <v>752.38599999999997</v>
      </c>
      <c r="AG56" s="101">
        <f t="shared" si="50"/>
        <v>1133.8653003472784</v>
      </c>
      <c r="AH56" s="101">
        <f t="shared" si="50"/>
        <v>1477.9763746345379</v>
      </c>
      <c r="AI56" s="101">
        <f t="shared" si="50"/>
        <v>387.88780278968801</v>
      </c>
      <c r="AJ56" s="101">
        <f t="shared" si="50"/>
        <v>772.09848596160373</v>
      </c>
      <c r="AK56" s="101">
        <f t="shared" si="50"/>
        <v>1147.2427514851233</v>
      </c>
      <c r="AL56" s="101">
        <f t="shared" ref="AL56" si="51">IFERROR(AL48+AL49+AL50+AL53+AL54+AL55,"n.a.")</f>
        <v>1481.0014709479367</v>
      </c>
      <c r="AM56" s="83"/>
      <c r="AN56" s="130"/>
    </row>
    <row r="57" spans="1:40" ht="12.5" hidden="1" outlineLevel="1">
      <c r="A57" s="87" t="s">
        <v>224</v>
      </c>
      <c r="B57" s="92"/>
      <c r="C57" s="24">
        <v>2.5680000000000001</v>
      </c>
      <c r="D57" s="24">
        <v>1.992</v>
      </c>
      <c r="E57" s="24">
        <v>14.188000000000001</v>
      </c>
      <c r="F57" s="48">
        <f>'Cash Flow - FY'!C49</f>
        <v>-41.734000000000002</v>
      </c>
      <c r="G57" s="24">
        <v>-9.657</v>
      </c>
      <c r="H57" s="24">
        <v>-3.6789999999999998</v>
      </c>
      <c r="I57" s="24">
        <v>3.8780000000000001</v>
      </c>
      <c r="J57" s="48">
        <f>'Cash Flow - FY'!D49</f>
        <v>-12.914999999999999</v>
      </c>
      <c r="K57" s="24">
        <v>10.521000000000001</v>
      </c>
      <c r="L57" s="24">
        <v>-8.6530000000000005</v>
      </c>
      <c r="M57" s="24">
        <v>15.8</v>
      </c>
      <c r="N57" s="48">
        <f>'Cash Flow - FY'!E49</f>
        <v>37.509</v>
      </c>
      <c r="O57" s="24">
        <v>11.007</v>
      </c>
      <c r="P57" s="24">
        <v>32.517000000000003</v>
      </c>
      <c r="Q57" s="24">
        <v>48.283999999999999</v>
      </c>
      <c r="R57" s="48">
        <f>'Cash Flow - FY'!F49</f>
        <v>64.781000000000006</v>
      </c>
      <c r="S57" s="24">
        <v>23.948</v>
      </c>
      <c r="T57" s="24">
        <v>56.252000000000002</v>
      </c>
      <c r="U57" s="24">
        <v>84.873999999999995</v>
      </c>
      <c r="V57" s="48">
        <f>'Cash Flow - FY'!G49</f>
        <v>133.96299999999999</v>
      </c>
      <c r="W57" s="24">
        <v>34.832999999999998</v>
      </c>
      <c r="X57" s="24">
        <v>17.396000000000001</v>
      </c>
      <c r="Y57" s="24">
        <v>106.02500000000001</v>
      </c>
      <c r="Z57" s="48">
        <f>'Cash Flow - FY'!H49</f>
        <v>141.28328688985508</v>
      </c>
      <c r="AA57" s="24">
        <v>14.398</v>
      </c>
      <c r="AB57" s="24">
        <v>44.829000000000001</v>
      </c>
      <c r="AC57" s="24">
        <v>67.950405138100507</v>
      </c>
      <c r="AD57" s="48">
        <f>+'Cash Flow - FY'!I49</f>
        <v>62.716551253114083</v>
      </c>
      <c r="AE57" s="24">
        <v>14.812603990277198</v>
      </c>
      <c r="AF57" s="24">
        <v>36.103309323059683</v>
      </c>
      <c r="AG57" s="24">
        <v>56.495818318943456</v>
      </c>
      <c r="AH57" s="48">
        <f>'Cash Flow - FY'!J49</f>
        <v>69.459314721524478</v>
      </c>
      <c r="AI57" s="24">
        <v>24.074160758201671</v>
      </c>
      <c r="AJ57" s="24">
        <v>34.609897956835901</v>
      </c>
      <c r="AK57" s="24">
        <v>57.640103168162199</v>
      </c>
      <c r="AL57" s="48">
        <f>'Cash Flow - FY'!K49</f>
        <v>61.579649022972298</v>
      </c>
      <c r="AM57" s="83"/>
    </row>
    <row r="58" spans="1:40" ht="12.5" hidden="1" outlineLevel="1">
      <c r="A58" s="87" t="s">
        <v>283</v>
      </c>
      <c r="B58" s="92"/>
      <c r="C58" s="24">
        <v>-45.664000000000001</v>
      </c>
      <c r="D58" s="24">
        <v>-11.331</v>
      </c>
      <c r="E58" s="24">
        <v>-33.701000000000001</v>
      </c>
      <c r="F58" s="48">
        <f>'Cash Flow - FY'!C50</f>
        <v>-135.5</v>
      </c>
      <c r="G58" s="24">
        <v>-31.077999999999999</v>
      </c>
      <c r="H58" s="24">
        <v>-67.25</v>
      </c>
      <c r="I58" s="24">
        <v>-101.11799999999999</v>
      </c>
      <c r="J58" s="48">
        <f>'Cash Flow - FY'!D50</f>
        <v>-119.042</v>
      </c>
      <c r="K58" s="24">
        <v>-30.146999999999998</v>
      </c>
      <c r="L58" s="24">
        <v>-75.992000000000004</v>
      </c>
      <c r="M58" s="24">
        <v>-113.379</v>
      </c>
      <c r="N58" s="48">
        <f>'Cash Flow - FY'!E50</f>
        <v>-141.98500000000001</v>
      </c>
      <c r="O58" s="24">
        <v>-31.42</v>
      </c>
      <c r="P58" s="24">
        <v>-53.774000000000001</v>
      </c>
      <c r="Q58" s="24">
        <v>-69.97</v>
      </c>
      <c r="R58" s="48">
        <f>'Cash Flow - FY'!F50</f>
        <v>-90.691999999999993</v>
      </c>
      <c r="S58" s="24">
        <v>-37.052</v>
      </c>
      <c r="T58" s="24">
        <v>-71.983000000000004</v>
      </c>
      <c r="U58" s="24">
        <v>-98.765000000000001</v>
      </c>
      <c r="V58" s="48">
        <f>'Cash Flow - FY'!G50</f>
        <v>-125.634</v>
      </c>
      <c r="W58" s="24">
        <v>-32.908000000000001</v>
      </c>
      <c r="X58" s="24">
        <v>-104.432</v>
      </c>
      <c r="Y58" s="24">
        <v>-151.20099999999999</v>
      </c>
      <c r="Z58" s="48">
        <f>'Cash Flow - FY'!H50</f>
        <v>-205.45545425319079</v>
      </c>
      <c r="AA58" s="24">
        <v>-28.986000000000001</v>
      </c>
      <c r="AB58" s="24">
        <v>-61.310499999999998</v>
      </c>
      <c r="AC58" s="24">
        <v>-105.05621869962258</v>
      </c>
      <c r="AD58" s="48">
        <f>+'Cash Flow - FY'!I50</f>
        <v>-138.98783525473061</v>
      </c>
      <c r="AE58" s="24">
        <v>-24.727300621281096</v>
      </c>
      <c r="AF58" s="24">
        <v>-69.469391125372582</v>
      </c>
      <c r="AG58" s="24">
        <v>-117.53711553466253</v>
      </c>
      <c r="AH58" s="48">
        <f>'Cash Flow - FY'!J50</f>
        <v>-158.48783559427511</v>
      </c>
      <c r="AI58" s="24">
        <v>-31.597565597892775</v>
      </c>
      <c r="AJ58" s="24">
        <v>-66.602762372803895</v>
      </c>
      <c r="AK58" s="24">
        <v>-111.850407521828</v>
      </c>
      <c r="AL58" s="48">
        <f>'Cash Flow - FY'!K50</f>
        <v>-154.24049470268901</v>
      </c>
      <c r="AM58" s="83"/>
    </row>
    <row r="59" spans="1:40" ht="12.5" hidden="1" outlineLevel="1">
      <c r="A59" s="87" t="s">
        <v>77</v>
      </c>
      <c r="B59" s="92"/>
      <c r="C59" s="24">
        <v>-28.573</v>
      </c>
      <c r="D59" s="24">
        <v>-103.611</v>
      </c>
      <c r="E59" s="24">
        <v>-126.146</v>
      </c>
      <c r="F59" s="48">
        <f>'Cash Flow - FY'!C51</f>
        <v>-109.76808642764956</v>
      </c>
      <c r="G59" s="24">
        <v>-5.2969999999999997</v>
      </c>
      <c r="H59" s="24">
        <v>-74.164000000000001</v>
      </c>
      <c r="I59" s="24">
        <v>-153.292</v>
      </c>
      <c r="J59" s="48">
        <f>'Cash Flow - FY'!D51</f>
        <v>-199.91900000000001</v>
      </c>
      <c r="K59" s="24">
        <v>-22.036999999999999</v>
      </c>
      <c r="L59" s="24">
        <v>-29.71</v>
      </c>
      <c r="M59" s="24">
        <v>23.445</v>
      </c>
      <c r="N59" s="48">
        <f>'Cash Flow - FY'!E51</f>
        <v>28.3</v>
      </c>
      <c r="O59" s="24">
        <v>-114.581</v>
      </c>
      <c r="P59" s="24">
        <v>42.34</v>
      </c>
      <c r="Q59" s="24">
        <v>159.66900000000001</v>
      </c>
      <c r="R59" s="48">
        <f>'Cash Flow - FY'!F51</f>
        <v>140.64500000000001</v>
      </c>
      <c r="S59" s="24">
        <v>-30.141999999999999</v>
      </c>
      <c r="T59" s="24">
        <v>-104.43899999999999</v>
      </c>
      <c r="U59" s="24">
        <v>-121.349</v>
      </c>
      <c r="V59" s="48">
        <f>'Cash Flow - FY'!G51</f>
        <v>-222.495</v>
      </c>
      <c r="W59" s="24">
        <v>-102.193</v>
      </c>
      <c r="X59" s="24">
        <v>-228.22499999999999</v>
      </c>
      <c r="Y59" s="24">
        <v>-273.99900000000002</v>
      </c>
      <c r="Z59" s="48">
        <f>'Cash Flow - FY'!H51</f>
        <v>-342.32219752160574</v>
      </c>
      <c r="AA59" s="24">
        <v>-18.832999999999998</v>
      </c>
      <c r="AB59" s="24">
        <v>10.676</v>
      </c>
      <c r="AC59" s="24">
        <v>51.51363844234973</v>
      </c>
      <c r="AD59" s="48">
        <f>+'Cash Flow - FY'!I51</f>
        <v>29.276851036494307</v>
      </c>
      <c r="AE59" s="24">
        <v>-20.860972057599703</v>
      </c>
      <c r="AF59" s="24">
        <v>-46.614386652672017</v>
      </c>
      <c r="AG59" s="24">
        <v>-17.013781599979499</v>
      </c>
      <c r="AH59" s="48">
        <f>'Cash Flow - FY'!J51</f>
        <v>-132.47914546193863</v>
      </c>
      <c r="AI59" s="24">
        <v>-57.669303133268713</v>
      </c>
      <c r="AJ59" s="24">
        <v>-71.018223760072999</v>
      </c>
      <c r="AK59" s="24">
        <v>-35.200935805353197</v>
      </c>
      <c r="AL59" s="48">
        <f>'Cash Flow - FY'!K51</f>
        <v>-86.521378234385395</v>
      </c>
      <c r="AM59" s="83"/>
    </row>
    <row r="60" spans="1:40" ht="12.5" hidden="1" outlineLevel="1">
      <c r="A60" s="87" t="s">
        <v>78</v>
      </c>
      <c r="B60" s="92"/>
      <c r="C60" s="24">
        <v>-265</v>
      </c>
      <c r="D60" s="24">
        <v>-235.98500000000001</v>
      </c>
      <c r="E60" s="24">
        <v>-299.084</v>
      </c>
      <c r="F60" s="48">
        <f>'Cash Flow - FY'!C52</f>
        <v>73.644000000000005</v>
      </c>
      <c r="G60" s="24">
        <v>-232.499</v>
      </c>
      <c r="H60" s="24">
        <v>-236.49700000000001</v>
      </c>
      <c r="I60" s="24">
        <v>-355.89699999999999</v>
      </c>
      <c r="J60" s="48">
        <f>'Cash Flow - FY'!D52</f>
        <v>-23.388000000000002</v>
      </c>
      <c r="K60" s="24">
        <v>-223.31399999999999</v>
      </c>
      <c r="L60" s="24">
        <v>-236.67500000000001</v>
      </c>
      <c r="M60" s="24">
        <v>-357.00700000000001</v>
      </c>
      <c r="N60" s="48">
        <f>'Cash Flow - FY'!E52</f>
        <v>-44.637</v>
      </c>
      <c r="O60" s="24">
        <v>-60.811999999999998</v>
      </c>
      <c r="P60" s="24">
        <v>-39.002000000000002</v>
      </c>
      <c r="Q60" s="24">
        <v>-397.72199999999998</v>
      </c>
      <c r="R60" s="48">
        <f>'Cash Flow - FY'!F52</f>
        <v>-35.323999999999998</v>
      </c>
      <c r="S60" s="24">
        <v>-208.584</v>
      </c>
      <c r="T60" s="24">
        <v>-190.256</v>
      </c>
      <c r="U60" s="24">
        <v>-328.95800000000003</v>
      </c>
      <c r="V60" s="48">
        <f>'Cash Flow - FY'!G52</f>
        <v>-51.351999999999997</v>
      </c>
      <c r="W60" s="24">
        <v>-233.976</v>
      </c>
      <c r="X60" s="24">
        <v>-215.173</v>
      </c>
      <c r="Y60" s="24">
        <v>-419.69299999999998</v>
      </c>
      <c r="Z60" s="48">
        <f>'Cash Flow - FY'!H52</f>
        <v>37.375854999999923</v>
      </c>
      <c r="AA60" s="24">
        <v>-307.17399999999998</v>
      </c>
      <c r="AB60" s="24">
        <v>-290.786</v>
      </c>
      <c r="AC60" s="24">
        <v>-487.72839299999987</v>
      </c>
      <c r="AD60" s="48">
        <f>+'Cash Flow - FY'!I52</f>
        <v>-51.466843999999945</v>
      </c>
      <c r="AE60" s="24">
        <v>-294.46466900000007</v>
      </c>
      <c r="AF60" s="24">
        <v>-296.13060436371558</v>
      </c>
      <c r="AG60" s="24">
        <v>-417.8149143637155</v>
      </c>
      <c r="AH60" s="48">
        <f>'Cash Flow - FY'!J52</f>
        <v>2.5195156362844395</v>
      </c>
      <c r="AI60" s="24">
        <v>-387.60851799999995</v>
      </c>
      <c r="AJ60" s="24">
        <v>-329.393988263898</v>
      </c>
      <c r="AK60" s="24">
        <v>-424.049630263898</v>
      </c>
      <c r="AL60" s="48">
        <f>'Cash Flow - FY'!K52</f>
        <v>-36.5394892638977</v>
      </c>
      <c r="AM60" s="83"/>
    </row>
    <row r="61" spans="1:40" ht="12.5" hidden="1" outlineLevel="1">
      <c r="A61" s="87" t="s">
        <v>79</v>
      </c>
      <c r="B61" s="92"/>
      <c r="C61" s="24">
        <v>-284.84399999999999</v>
      </c>
      <c r="D61" s="24">
        <v>-97.983999999999995</v>
      </c>
      <c r="E61" s="24">
        <v>-187.358</v>
      </c>
      <c r="F61" s="48">
        <f>'Cash Flow - FY'!C53</f>
        <v>447.38499999999999</v>
      </c>
      <c r="G61" s="24">
        <v>-553.1</v>
      </c>
      <c r="H61" s="24">
        <v>-497.80399999999997</v>
      </c>
      <c r="I61" s="24">
        <v>-483.89299999999997</v>
      </c>
      <c r="J61" s="48">
        <f>'Cash Flow - FY'!D53</f>
        <v>104.663</v>
      </c>
      <c r="K61" s="24">
        <v>-483.46800000000002</v>
      </c>
      <c r="L61" s="24">
        <v>-412.33300000000003</v>
      </c>
      <c r="M61" s="24">
        <v>-455.10399999999998</v>
      </c>
      <c r="N61" s="48">
        <f>'Cash Flow - FY'!E53</f>
        <v>18.815000000000001</v>
      </c>
      <c r="O61" s="24">
        <v>-577.68799999999999</v>
      </c>
      <c r="P61" s="24">
        <v>-649.01099999999997</v>
      </c>
      <c r="Q61" s="24">
        <v>-660.63499999999999</v>
      </c>
      <c r="R61" s="48">
        <f>'Cash Flow - FY'!F53</f>
        <v>-184.60400000000001</v>
      </c>
      <c r="S61" s="24">
        <v>-416.53300000000002</v>
      </c>
      <c r="T61" s="24">
        <v>-326.81900000000002</v>
      </c>
      <c r="U61" s="24">
        <v>-249.52099999999999</v>
      </c>
      <c r="V61" s="48">
        <f>'Cash Flow - FY'!G53</f>
        <v>214.512</v>
      </c>
      <c r="W61" s="24">
        <v>-422.29500000000002</v>
      </c>
      <c r="X61" s="24">
        <v>-221.19900000000001</v>
      </c>
      <c r="Y61" s="24">
        <v>-81.831999999999994</v>
      </c>
      <c r="Z61" s="48">
        <f>'Cash Flow - FY'!H53</f>
        <v>272.84186700000004</v>
      </c>
      <c r="AA61" s="24">
        <v>-499.77</v>
      </c>
      <c r="AB61" s="24">
        <v>-429.875</v>
      </c>
      <c r="AC61" s="24">
        <v>-340.50620700000007</v>
      </c>
      <c r="AD61" s="48">
        <f>+'Cash Flow - FY'!I53</f>
        <v>132.7285939999999</v>
      </c>
      <c r="AE61" s="24">
        <v>-485.13502699999992</v>
      </c>
      <c r="AF61" s="24">
        <v>-415.8746080736085</v>
      </c>
      <c r="AG61" s="24">
        <v>-311.62900000000002</v>
      </c>
      <c r="AH61" s="48">
        <f>'Cash Flow - FY'!J53</f>
        <v>119.25473470641073</v>
      </c>
      <c r="AI61" s="24">
        <v>-407.62757870269058</v>
      </c>
      <c r="AJ61" s="24">
        <v>-313.17571034790001</v>
      </c>
      <c r="AK61" s="24">
        <v>-298.26407602924098</v>
      </c>
      <c r="AL61" s="48">
        <f>'Cash Flow - FY'!K53</f>
        <v>69.951989220462195</v>
      </c>
      <c r="AM61" s="83"/>
    </row>
    <row r="62" spans="1:40" ht="12.5" hidden="1" outlineLevel="1">
      <c r="A62" s="87" t="s">
        <v>80</v>
      </c>
      <c r="B62" s="92"/>
      <c r="C62" s="24">
        <v>-151.042</v>
      </c>
      <c r="D62" s="24">
        <v>-219.03</v>
      </c>
      <c r="E62" s="24">
        <v>-198.107</v>
      </c>
      <c r="F62" s="48">
        <f>'Cash Flow - FY'!C54</f>
        <v>-39.423000000000002</v>
      </c>
      <c r="G62" s="24">
        <v>-122.944</v>
      </c>
      <c r="H62" s="24">
        <v>-169.75</v>
      </c>
      <c r="I62" s="24">
        <v>-159.69300000000001</v>
      </c>
      <c r="J62" s="48">
        <f>'Cash Flow - FY'!D54</f>
        <v>-151.42500000000001</v>
      </c>
      <c r="K62" s="24">
        <v>-84.421999999999997</v>
      </c>
      <c r="L62" s="24">
        <f>-88.841-71.765</f>
        <v>-160.60599999999999</v>
      </c>
      <c r="M62" s="24">
        <f>-81.212-71.773</f>
        <v>-152.98500000000001</v>
      </c>
      <c r="N62" s="51">
        <f>IFERROR(N63+N64,"n.a.")</f>
        <v>-79.606999999999999</v>
      </c>
      <c r="O62" s="51">
        <f>IFERROR(O63+O64,"n.a.")</f>
        <v>-95.513999999999996</v>
      </c>
      <c r="P62" s="51">
        <f t="shared" ref="P62:U62" si="52">IFERROR(P63+P64,"n.a.")</f>
        <v>-70.569000000000003</v>
      </c>
      <c r="Q62" s="51">
        <f t="shared" si="52"/>
        <v>13.847999999999999</v>
      </c>
      <c r="R62" s="51">
        <f t="shared" si="52"/>
        <v>82.480999999999995</v>
      </c>
      <c r="S62" s="51">
        <f t="shared" si="52"/>
        <v>-47.527000000000001</v>
      </c>
      <c r="T62" s="51">
        <f t="shared" si="52"/>
        <v>-53.466999999999999</v>
      </c>
      <c r="U62" s="51">
        <f t="shared" si="52"/>
        <v>-42.143000000000001</v>
      </c>
      <c r="V62" s="51">
        <f>IFERROR(V63+V64,"n.a.")</f>
        <v>-35.350999999999999</v>
      </c>
      <c r="W62" s="51">
        <f>IFERROR(W63+W64,"n.a.")</f>
        <v>-69.495999999999995</v>
      </c>
      <c r="X62" s="51">
        <f>IFERROR(X63+X64,"n.a.")</f>
        <v>-80.248999999999995</v>
      </c>
      <c r="Y62" s="51">
        <f>IFERROR(Y63+Y64-0.1,"n.a.")</f>
        <v>-79.638999999999996</v>
      </c>
      <c r="Z62" s="51">
        <f t="shared" ref="Z62:AD62" si="53">IFERROR(Z63+Z64,"n.a.")</f>
        <v>-22.602629570575285</v>
      </c>
      <c r="AA62" s="51">
        <f t="shared" si="53"/>
        <v>24.945999999999998</v>
      </c>
      <c r="AB62" s="51">
        <f t="shared" si="53"/>
        <v>-86.956000000000003</v>
      </c>
      <c r="AC62" s="51">
        <f t="shared" si="53"/>
        <v>-47.446755288222121</v>
      </c>
      <c r="AD62" s="51">
        <f t="shared" si="53"/>
        <v>-36.488156644216602</v>
      </c>
      <c r="AE62" s="51">
        <f>IFERROR(AE63+AE64,"n.a.")</f>
        <v>-14.947320039818223</v>
      </c>
      <c r="AF62" s="51">
        <f t="shared" ref="AF62:AH62" si="54">IFERROR(AF63+AF64,"n.a.")</f>
        <v>-92.12260228930775</v>
      </c>
      <c r="AG62" s="51">
        <f t="shared" si="54"/>
        <v>-55.447814932145519</v>
      </c>
      <c r="AH62" s="51">
        <f t="shared" si="54"/>
        <v>-42.87329322944607</v>
      </c>
      <c r="AI62" s="51">
        <f>IFERROR(AI63+AI64,"n.a.")</f>
        <v>35.953769085327437</v>
      </c>
      <c r="AJ62" s="51">
        <f t="shared" ref="AJ62" si="55">IFERROR(AJ63+AJ64,"n.a.")</f>
        <v>-32.168156109096799</v>
      </c>
      <c r="AK62" s="51">
        <f t="shared" ref="AK62:AL62" si="56">IFERROR(AK63+AK64,"n.a.")</f>
        <v>-51.999172509541594</v>
      </c>
      <c r="AL62" s="51">
        <f t="shared" si="56"/>
        <v>6.2912499283999779E-2</v>
      </c>
      <c r="AM62" s="83"/>
    </row>
    <row r="63" spans="1:40" ht="13" hidden="1" outlineLevel="2">
      <c r="A63" s="85" t="s">
        <v>264</v>
      </c>
      <c r="B63" s="92"/>
      <c r="C63" s="24" t="s">
        <v>164</v>
      </c>
      <c r="D63" s="24" t="s">
        <v>164</v>
      </c>
      <c r="E63" s="24" t="s">
        <v>164</v>
      </c>
      <c r="F63" s="48" t="str">
        <f>'Cash Flow - FY'!C55</f>
        <v>n.a.</v>
      </c>
      <c r="G63" s="24" t="s">
        <v>164</v>
      </c>
      <c r="H63" s="24" t="s">
        <v>164</v>
      </c>
      <c r="I63" s="24" t="s">
        <v>164</v>
      </c>
      <c r="J63" s="48" t="str">
        <f>'Cash Flow - FY'!D55</f>
        <v>n.a.</v>
      </c>
      <c r="K63" s="24" t="s">
        <v>164</v>
      </c>
      <c r="L63" s="24" t="s">
        <v>164</v>
      </c>
      <c r="M63" s="24" t="s">
        <v>164</v>
      </c>
      <c r="N63" s="48">
        <f>'Cash Flow - FY'!E55</f>
        <v>-32.161000000000001</v>
      </c>
      <c r="O63" s="24">
        <v>-58.04</v>
      </c>
      <c r="P63" s="24">
        <v>-90.247</v>
      </c>
      <c r="Q63" s="24">
        <v>-68.698999999999998</v>
      </c>
      <c r="R63" s="48">
        <f>'Cash Flow - FY'!F55</f>
        <v>21.925999999999998</v>
      </c>
      <c r="S63" s="24">
        <v>-29.504000000000001</v>
      </c>
      <c r="T63" s="24">
        <v>-55.9</v>
      </c>
      <c r="U63" s="24">
        <v>-4.524</v>
      </c>
      <c r="V63" s="48">
        <f>'Cash Flow - FY'!G55</f>
        <v>23.745000000000001</v>
      </c>
      <c r="W63" s="24">
        <v>-62.08</v>
      </c>
      <c r="X63" s="24">
        <v>-21.515000000000001</v>
      </c>
      <c r="Y63" s="24">
        <v>-49.959000000000003</v>
      </c>
      <c r="Z63" s="48">
        <f>'Cash Flow - FY'!H55</f>
        <v>-50.502466804980344</v>
      </c>
      <c r="AA63" s="24">
        <v>-32.905000000000001</v>
      </c>
      <c r="AB63" s="24">
        <v>-44.433</v>
      </c>
      <c r="AC63" s="24">
        <v>-8.3173522882205759</v>
      </c>
      <c r="AD63" s="48">
        <f>+'Cash Flow - FY'!I55</f>
        <v>-23.962532374542103</v>
      </c>
      <c r="AE63" s="24">
        <v>-63.986101039818251</v>
      </c>
      <c r="AF63" s="24">
        <v>-85.650586508401787</v>
      </c>
      <c r="AG63" s="24">
        <v>-24.635201584263967</v>
      </c>
      <c r="AH63" s="48">
        <f>'Cash Flow - FY'!J55</f>
        <v>-43.978016499776629</v>
      </c>
      <c r="AI63" s="24">
        <v>8.108592365424439</v>
      </c>
      <c r="AJ63" s="24">
        <v>28.866202847194</v>
      </c>
      <c r="AK63" s="24">
        <v>16.471442086828901</v>
      </c>
      <c r="AL63" s="48">
        <f>'Cash Flow - FY'!K55</f>
        <v>26.603890287584701</v>
      </c>
      <c r="AM63" s="14"/>
      <c r="AN63" s="177"/>
    </row>
    <row r="64" spans="1:40" ht="12.5" hidden="1" outlineLevel="2">
      <c r="A64" s="85" t="s">
        <v>265</v>
      </c>
      <c r="B64" s="92"/>
      <c r="C64" s="24" t="s">
        <v>164</v>
      </c>
      <c r="D64" s="24" t="s">
        <v>164</v>
      </c>
      <c r="E64" s="24" t="s">
        <v>164</v>
      </c>
      <c r="F64" s="48" t="str">
        <f>'Cash Flow - FY'!C56</f>
        <v>n.a.</v>
      </c>
      <c r="G64" s="24" t="s">
        <v>164</v>
      </c>
      <c r="H64" s="24" t="s">
        <v>164</v>
      </c>
      <c r="I64" s="24" t="s">
        <v>164</v>
      </c>
      <c r="J64" s="48" t="str">
        <f>'Cash Flow - FY'!D56</f>
        <v>n.a.</v>
      </c>
      <c r="K64" s="24" t="s">
        <v>164</v>
      </c>
      <c r="L64" s="24" t="s">
        <v>164</v>
      </c>
      <c r="M64" s="24" t="s">
        <v>164</v>
      </c>
      <c r="N64" s="48">
        <f>'Cash Flow - FY'!E56</f>
        <v>-47.445999999999998</v>
      </c>
      <c r="O64" s="24">
        <v>-37.473999999999997</v>
      </c>
      <c r="P64" s="24">
        <v>19.678000000000001</v>
      </c>
      <c r="Q64" s="24">
        <v>82.546999999999997</v>
      </c>
      <c r="R64" s="48">
        <f>'Cash Flow - FY'!F56</f>
        <v>60.555</v>
      </c>
      <c r="S64" s="24">
        <v>-18.023</v>
      </c>
      <c r="T64" s="24">
        <v>2.4329999999999998</v>
      </c>
      <c r="U64" s="24">
        <v>-37.619</v>
      </c>
      <c r="V64" s="48">
        <f>'Cash Flow - FY'!G56</f>
        <v>-59.095999999999997</v>
      </c>
      <c r="W64" s="24">
        <v>-7.4160000000000004</v>
      </c>
      <c r="X64" s="24">
        <v>-58.734000000000002</v>
      </c>
      <c r="Y64" s="24">
        <v>-29.58</v>
      </c>
      <c r="Z64" s="48">
        <f>'Cash Flow - FY'!H56</f>
        <v>27.899837234405059</v>
      </c>
      <c r="AA64" s="24">
        <v>57.850999999999999</v>
      </c>
      <c r="AB64" s="24">
        <v>-42.523000000000003</v>
      </c>
      <c r="AC64" s="24">
        <v>-39.129403000001545</v>
      </c>
      <c r="AD64" s="48">
        <f>+'Cash Flow - FY'!I56</f>
        <v>-12.5256242696745</v>
      </c>
      <c r="AE64" s="24">
        <v>49.038781000000029</v>
      </c>
      <c r="AF64" s="24">
        <v>-6.4720157809059584</v>
      </c>
      <c r="AG64" s="24">
        <v>-30.812613347881555</v>
      </c>
      <c r="AH64" s="48">
        <f>'Cash Flow - FY'!J56</f>
        <v>1.1047232703305563</v>
      </c>
      <c r="AI64" s="24">
        <v>27.845176719902994</v>
      </c>
      <c r="AJ64" s="24">
        <v>-61.034358956290802</v>
      </c>
      <c r="AK64" s="24">
        <v>-68.470614596370496</v>
      </c>
      <c r="AL64" s="48">
        <f>'Cash Flow - FY'!K56</f>
        <v>-26.540977788300701</v>
      </c>
      <c r="AM64" s="83"/>
    </row>
    <row r="65" spans="1:40" ht="12.5" hidden="1" outlineLevel="1">
      <c r="A65" s="87" t="s">
        <v>236</v>
      </c>
      <c r="B65" s="92"/>
      <c r="C65" s="24">
        <v>-37.962000000000003</v>
      </c>
      <c r="D65" s="24">
        <v>-31.268000000000001</v>
      </c>
      <c r="E65" s="24">
        <v>-97.65</v>
      </c>
      <c r="F65" s="48">
        <f>'Cash Flow - FY'!C57</f>
        <v>-102.01</v>
      </c>
      <c r="G65" s="24">
        <v>-13.99</v>
      </c>
      <c r="H65" s="24">
        <v>-7.1589999999999998</v>
      </c>
      <c r="I65" s="24">
        <v>-92.963999999999999</v>
      </c>
      <c r="J65" s="48">
        <f>'Cash Flow - FY'!D57</f>
        <v>-57.226999999999997</v>
      </c>
      <c r="K65" s="24">
        <v>-10.741</v>
      </c>
      <c r="L65" s="24">
        <v>-32.600999999999999</v>
      </c>
      <c r="M65" s="24">
        <v>-44.749000000000002</v>
      </c>
      <c r="N65" s="51">
        <f>IFERROR(N66+N67,"n.a.")</f>
        <v>-66.254999999999995</v>
      </c>
      <c r="O65" s="51">
        <f>IFERROR(O66+O67,"n.a.")</f>
        <v>-13.018999999999998</v>
      </c>
      <c r="P65" s="51">
        <f t="shared" ref="P65:U65" si="57">IFERROR(P66+P67,"n.a.")</f>
        <v>-12.827</v>
      </c>
      <c r="Q65" s="51">
        <f t="shared" si="57"/>
        <v>-42.007999999999996</v>
      </c>
      <c r="R65" s="51">
        <f t="shared" si="57"/>
        <v>-95.225999999999999</v>
      </c>
      <c r="S65" s="51">
        <f t="shared" si="57"/>
        <v>-32.582999999999998</v>
      </c>
      <c r="T65" s="51">
        <f t="shared" si="57"/>
        <v>-45.296999999999997</v>
      </c>
      <c r="U65" s="51">
        <f t="shared" si="57"/>
        <v>-70.307000000000002</v>
      </c>
      <c r="V65" s="51">
        <f>IFERROR(V66+V67,"n.a.")</f>
        <v>-88.814999999999998</v>
      </c>
      <c r="W65" s="51">
        <f>IFERROR(W66+W67,"n.a.")</f>
        <v>-18.116</v>
      </c>
      <c r="X65" s="51">
        <f>IFERROR(X66+X67,"n.a.")</f>
        <v>19.259999999999998</v>
      </c>
      <c r="Y65" s="51">
        <f>IFERROR(Y66+Y67-0.1,"n.a.")</f>
        <v>-32.408999999999999</v>
      </c>
      <c r="Z65" s="51">
        <f>IFERROR(Z66+Z67-0.1,"n.a.")</f>
        <v>-107.74784405515369</v>
      </c>
      <c r="AA65" s="51">
        <f t="shared" ref="AA65:AF65" si="58">IFERROR(AA66+AA67,"n.a.")</f>
        <v>-16.399000000000001</v>
      </c>
      <c r="AB65" s="51">
        <f t="shared" si="58"/>
        <v>-25.500999999999998</v>
      </c>
      <c r="AC65" s="51">
        <f t="shared" si="58"/>
        <v>-32.284605621549929</v>
      </c>
      <c r="AD65" s="51">
        <f t="shared" si="58"/>
        <v>-34.707777165774232</v>
      </c>
      <c r="AE65" s="51">
        <f t="shared" si="58"/>
        <v>-15.308958052133722</v>
      </c>
      <c r="AF65" s="51">
        <f t="shared" si="58"/>
        <v>-24.355989912478293</v>
      </c>
      <c r="AG65" s="51">
        <f t="shared" ref="AG65" si="59">IFERROR(AG66+AG67,"n.a.")</f>
        <v>-24.652218300428082</v>
      </c>
      <c r="AH65" s="51">
        <f>'Cash Flow - FY'!J57</f>
        <v>-42.770026743261134</v>
      </c>
      <c r="AI65" s="51">
        <f t="shared" ref="AI65:AJ65" si="60">IFERROR(AI66+AI67,"n.a.")</f>
        <v>-12.021156696270044</v>
      </c>
      <c r="AJ65" s="51">
        <f t="shared" si="60"/>
        <v>-17.770039361994733</v>
      </c>
      <c r="AK65" s="51">
        <f t="shared" ref="AK65:AL65" si="61">IFERROR(AK66+AK67,"n.a.")</f>
        <v>-20.509177220923856</v>
      </c>
      <c r="AL65" s="51">
        <f t="shared" si="61"/>
        <v>-29.490524879785998</v>
      </c>
      <c r="AM65" s="83"/>
    </row>
    <row r="66" spans="1:40" ht="12.5" hidden="1" outlineLevel="2">
      <c r="A66" s="85" t="s">
        <v>266</v>
      </c>
      <c r="B66" s="92"/>
      <c r="C66" s="24" t="s">
        <v>164</v>
      </c>
      <c r="D66" s="24" t="s">
        <v>164</v>
      </c>
      <c r="E66" s="24" t="s">
        <v>164</v>
      </c>
      <c r="F66" s="48" t="str">
        <f>'Cash Flow - FY'!C58</f>
        <v>n.a.</v>
      </c>
      <c r="G66" s="24" t="s">
        <v>164</v>
      </c>
      <c r="H66" s="24" t="s">
        <v>164</v>
      </c>
      <c r="I66" s="24" t="s">
        <v>164</v>
      </c>
      <c r="J66" s="48" t="str">
        <f>'Cash Flow - FY'!D58</f>
        <v>n.a.</v>
      </c>
      <c r="K66" s="24" t="s">
        <v>164</v>
      </c>
      <c r="L66" s="24" t="s">
        <v>164</v>
      </c>
      <c r="M66" s="24" t="s">
        <v>164</v>
      </c>
      <c r="N66" s="48">
        <f>'Cash Flow - FY'!E58</f>
        <v>-43.029000000000003</v>
      </c>
      <c r="O66" s="24">
        <v>-8.2059999999999995</v>
      </c>
      <c r="P66" s="24">
        <v>-6.82</v>
      </c>
      <c r="Q66" s="24">
        <v>-29.414999999999999</v>
      </c>
      <c r="R66" s="48">
        <f>'Cash Flow - FY'!F58</f>
        <v>-37.173000000000002</v>
      </c>
      <c r="S66" s="24">
        <v>-26.062000000000001</v>
      </c>
      <c r="T66" s="24">
        <v>-33.619999999999997</v>
      </c>
      <c r="U66" s="24">
        <v>-39.825000000000003</v>
      </c>
      <c r="V66" s="48">
        <f>'Cash Flow - FY'!G58</f>
        <v>-48.750999999999998</v>
      </c>
      <c r="W66" s="24">
        <v>-10.858000000000001</v>
      </c>
      <c r="X66" s="24">
        <v>31.852</v>
      </c>
      <c r="Y66" s="24">
        <v>-18.254999999999999</v>
      </c>
      <c r="Z66" s="48">
        <f>'Cash Flow - FY'!H58</f>
        <v>-89.471391055153703</v>
      </c>
      <c r="AA66" s="24">
        <v>-6.0149999999999997</v>
      </c>
      <c r="AB66" s="24">
        <v>-11.657</v>
      </c>
      <c r="AC66" s="24">
        <v>-14.910644621549935</v>
      </c>
      <c r="AD66" s="48">
        <f>+'Cash Flow - FY'!I58</f>
        <v>-16.633563565774232</v>
      </c>
      <c r="AE66" s="24">
        <v>-5.476823052133712</v>
      </c>
      <c r="AF66" s="24">
        <v>-9.4238489124782845</v>
      </c>
      <c r="AG66" s="24">
        <v>-7.444224300428079</v>
      </c>
      <c r="AH66" s="48">
        <f>'Cash Flow - FY'!J58</f>
        <v>-18.977799047871493</v>
      </c>
      <c r="AI66" s="24">
        <v>-0.48135869627003469</v>
      </c>
      <c r="AJ66" s="24">
        <v>-0.26467536199473402</v>
      </c>
      <c r="AK66" s="24">
        <v>-0.71222522092385399</v>
      </c>
      <c r="AL66" s="48">
        <f>'Cash Flow - FY'!K58</f>
        <v>-5.4194758797859999</v>
      </c>
      <c r="AM66" s="83"/>
    </row>
    <row r="67" spans="1:40" ht="12.5" hidden="1" outlineLevel="2">
      <c r="A67" s="85" t="s">
        <v>267</v>
      </c>
      <c r="B67" s="92"/>
      <c r="C67" s="24" t="s">
        <v>164</v>
      </c>
      <c r="D67" s="24" t="s">
        <v>164</v>
      </c>
      <c r="E67" s="24" t="s">
        <v>164</v>
      </c>
      <c r="F67" s="48" t="str">
        <f>'Cash Flow - FY'!C59</f>
        <v>n.a.</v>
      </c>
      <c r="G67" s="24" t="s">
        <v>164</v>
      </c>
      <c r="H67" s="24" t="s">
        <v>164</v>
      </c>
      <c r="I67" s="24" t="s">
        <v>164</v>
      </c>
      <c r="J67" s="48" t="str">
        <f>'Cash Flow - FY'!D59</f>
        <v>n.a.</v>
      </c>
      <c r="K67" s="24" t="s">
        <v>164</v>
      </c>
      <c r="L67" s="24" t="s">
        <v>164</v>
      </c>
      <c r="M67" s="24" t="s">
        <v>164</v>
      </c>
      <c r="N67" s="48">
        <f>'Cash Flow - FY'!E59</f>
        <v>-23.225999999999999</v>
      </c>
      <c r="O67" s="24">
        <v>-4.8129999999999997</v>
      </c>
      <c r="P67" s="24">
        <v>-6.0069999999999997</v>
      </c>
      <c r="Q67" s="24">
        <v>-12.593</v>
      </c>
      <c r="R67" s="48">
        <f>'Cash Flow - FY'!F59</f>
        <v>-58.052999999999997</v>
      </c>
      <c r="S67" s="24">
        <v>-6.5209999999999999</v>
      </c>
      <c r="T67" s="24">
        <v>-11.677</v>
      </c>
      <c r="U67" s="24">
        <v>-30.481999999999999</v>
      </c>
      <c r="V67" s="48">
        <f>'Cash Flow - FY'!G59</f>
        <v>-40.064</v>
      </c>
      <c r="W67" s="24">
        <v>-7.258</v>
      </c>
      <c r="X67" s="24">
        <v>-12.592000000000001</v>
      </c>
      <c r="Y67" s="24">
        <v>-14.054</v>
      </c>
      <c r="Z67" s="48">
        <f>'Cash Flow - FY'!H59</f>
        <v>-18.176452999999992</v>
      </c>
      <c r="AA67" s="24">
        <v>-10.384</v>
      </c>
      <c r="AB67" s="24">
        <v>-13.843999999999999</v>
      </c>
      <c r="AC67" s="24">
        <v>-17.373960999999998</v>
      </c>
      <c r="AD67" s="48">
        <f>+'Cash Flow - FY'!I59</f>
        <v>-18.0742136</v>
      </c>
      <c r="AE67" s="24">
        <v>-9.8321350000000098</v>
      </c>
      <c r="AF67" s="24">
        <v>-14.932141000000007</v>
      </c>
      <c r="AG67" s="24">
        <v>-17.207994000000003</v>
      </c>
      <c r="AH67" s="48">
        <f>'Cash Flow - FY'!J59</f>
        <v>-23.792227695389641</v>
      </c>
      <c r="AI67" s="24">
        <v>-11.539798000000008</v>
      </c>
      <c r="AJ67" s="24">
        <v>-17.505364</v>
      </c>
      <c r="AK67" s="24">
        <v>-19.796952000000001</v>
      </c>
      <c r="AL67" s="48">
        <f>'Cash Flow - FY'!K59</f>
        <v>-24.071048999999999</v>
      </c>
      <c r="AM67" s="83"/>
    </row>
    <row r="68" spans="1:40" s="14" customFormat="1" ht="13" collapsed="1">
      <c r="A68" s="79" t="s">
        <v>88</v>
      </c>
      <c r="B68" s="102"/>
      <c r="C68" s="26">
        <f t="shared" ref="C68:N68" si="62">IFERROR(C56+C57+C58+C59+C60+C61+C62+C65,"n.a.")</f>
        <v>-549.92400000000009</v>
      </c>
      <c r="D68" s="26">
        <f t="shared" si="62"/>
        <v>-264.13400000000001</v>
      </c>
      <c r="E68" s="26">
        <f t="shared" si="62"/>
        <v>-111.59300000000002</v>
      </c>
      <c r="F68" s="26">
        <f t="shared" si="62"/>
        <v>1137.65091357235</v>
      </c>
      <c r="G68" s="26">
        <f t="shared" si="62"/>
        <v>-686.34899999999993</v>
      </c>
      <c r="H68" s="26">
        <f t="shared" si="62"/>
        <v>-483.49799999999999</v>
      </c>
      <c r="I68" s="26">
        <f t="shared" si="62"/>
        <v>-457.99400000000009</v>
      </c>
      <c r="J68" s="26">
        <f t="shared" si="62"/>
        <v>658.36099999999976</v>
      </c>
      <c r="K68" s="26">
        <f t="shared" si="62"/>
        <v>-535.65</v>
      </c>
      <c r="L68" s="26">
        <f t="shared" si="62"/>
        <v>-263.36200000000008</v>
      </c>
      <c r="M68" s="26">
        <f t="shared" si="62"/>
        <v>-91.61900000000017</v>
      </c>
      <c r="N68" s="26">
        <f t="shared" si="62"/>
        <v>1022.7020000000003</v>
      </c>
      <c r="O68" s="26">
        <f>IFERROR(O56+O57+O58+O59+O60+O61+O62+O65,"n.a.")</f>
        <v>-660.18100000000004</v>
      </c>
      <c r="P68" s="26">
        <f>IFERROR(P56+P57+P58+P59+P60+P61+P62+P65,"n.a.")</f>
        <v>-545.80599999999993</v>
      </c>
      <c r="Q68" s="26">
        <f>IFERROR(Q56+Q57+Q58+Q59+Q60+Q61+Q62+Q65,"n.a.")</f>
        <v>-466.76800000000003</v>
      </c>
      <c r="R68" s="26">
        <f>IFERROR(R56+R57+R58+R59+R60+R61+R62+R65,"n.a.")</f>
        <v>618.35199999999986</v>
      </c>
      <c r="S68" s="26">
        <f>IFERROR(S56+S57+S58+S59+S60+S61+S62+S65,"n.a.")</f>
        <v>-524.71299999999997</v>
      </c>
      <c r="T68" s="26">
        <f>IFERROR(T56+T57+T58+T59+T60+T61+T62+T65-0.002,"n.a.")</f>
        <v>-232.70600000000016</v>
      </c>
      <c r="U68" s="26">
        <f>IFERROR(U56+U57+U58+U59+U60+U61+U62+U65,"n.a.")</f>
        <v>-17.779999999999902</v>
      </c>
      <c r="V68" s="26">
        <f>IFERROR(V56+V57+V58+V59+V60+V61+V62+V65,"n.a.")</f>
        <v>919.11999999999989</v>
      </c>
      <c r="W68" s="26">
        <f>IFERROR(W56+W57+W58+W59+W60+W61+W62+W65,"n.a.")</f>
        <v>-518.40600000000006</v>
      </c>
      <c r="X68" s="26">
        <f>IFERROR(X56+X57+X58+X59+X60+X61+X62+X65,"n.a.")</f>
        <v>-135.77000000000012</v>
      </c>
      <c r="Y68" s="26">
        <f>IFERROR(Y56+Y57+Y58+Y59+Y60+Y61+Y62+Y65+0.1,"n.a.")</f>
        <v>111.50800000000001</v>
      </c>
      <c r="Z68" s="26">
        <f t="shared" ref="Z68:AE68" si="63">IFERROR(Z56+Z57+Z58+Z59+Z60+Z61+Z62+Z65,"n.a.")</f>
        <v>1131.5398834893294</v>
      </c>
      <c r="AA68" s="26">
        <f t="shared" si="63"/>
        <v>-481.05399999999986</v>
      </c>
      <c r="AB68" s="26">
        <f t="shared" si="63"/>
        <v>-120.31250000000006</v>
      </c>
      <c r="AC68" s="26">
        <f t="shared" si="63"/>
        <v>193.08111497105949</v>
      </c>
      <c r="AD68" s="26">
        <f t="shared" si="63"/>
        <v>1359.8628003826514</v>
      </c>
      <c r="AE68" s="26">
        <f t="shared" si="63"/>
        <v>-472.55313042028354</v>
      </c>
      <c r="AF68" s="26">
        <f t="shared" ref="AF68:AG68" si="64">IFERROR(AF56+AF57+AF58+AF59+AF60+AF61+AF62+AF65,"n.a.")</f>
        <v>-156.07827309409507</v>
      </c>
      <c r="AG68" s="26">
        <f t="shared" si="64"/>
        <v>246.26627393529091</v>
      </c>
      <c r="AH68" s="26">
        <f t="shared" ref="AH68:AJ68" si="65">IFERROR(AH56+AH57+AH58+AH59+AH60+AH61+AH62+AH65,"n.a.")</f>
        <v>1292.5996386698366</v>
      </c>
      <c r="AI68" s="26">
        <f t="shared" si="65"/>
        <v>-448.60838949690492</v>
      </c>
      <c r="AJ68" s="26">
        <f t="shared" si="65"/>
        <v>-23.420496297326892</v>
      </c>
      <c r="AK68" s="26">
        <f>IFERROR(AK56+AK57+AK58+AK59+AK60+AK61+AK62+AK65,"n.a.")+0.1</f>
        <v>263.10945530249973</v>
      </c>
      <c r="AL68" s="26">
        <f>IFERROR(AL56+AL57+AL58+AL59+AL60+AL61+AL62+AL65,"n.a.")</f>
        <v>1305.8041346098971</v>
      </c>
      <c r="AM68" s="130"/>
      <c r="AN68" s="130"/>
    </row>
    <row r="69" spans="1:40" ht="12.5">
      <c r="A69" s="83"/>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130"/>
    </row>
    <row r="70" spans="1:40" ht="12.5" hidden="1" outlineLevel="1">
      <c r="A70" s="90" t="s">
        <v>237</v>
      </c>
      <c r="B70" s="91"/>
      <c r="C70" s="23">
        <v>-97.445999999999998</v>
      </c>
      <c r="D70" s="23">
        <v>-213.40199999999999</v>
      </c>
      <c r="E70" s="23">
        <v>-324.07077600000002</v>
      </c>
      <c r="F70" s="33">
        <f>'Cash Flow - FY'!C62</f>
        <v>-470.38299999999998</v>
      </c>
      <c r="G70" s="23">
        <v>-84.665999999999997</v>
      </c>
      <c r="H70" s="23">
        <v>-176.74700000000001</v>
      </c>
      <c r="I70" s="23">
        <v>-290.63200000000001</v>
      </c>
      <c r="J70" s="33">
        <f>'Cash Flow - FY'!D62</f>
        <v>-451.80099999999999</v>
      </c>
      <c r="K70" s="23">
        <v>-77.462999999999994</v>
      </c>
      <c r="L70" s="23">
        <v>-164.34</v>
      </c>
      <c r="M70" s="23">
        <v>-235.20099999999999</v>
      </c>
      <c r="N70" s="33">
        <f>'Cash Flow - FY'!E62</f>
        <v>-369.69900000000001</v>
      </c>
      <c r="O70" s="23">
        <v>-53.591999999999999</v>
      </c>
      <c r="P70" s="23">
        <v>-74.198999999999998</v>
      </c>
      <c r="Q70" s="23">
        <v>-95.885000000000005</v>
      </c>
      <c r="R70" s="33">
        <f>'Cash Flow - FY'!F62</f>
        <v>-124.508</v>
      </c>
      <c r="S70" s="23">
        <v>-82.852999999999994</v>
      </c>
      <c r="T70" s="23">
        <v>-136.714</v>
      </c>
      <c r="U70" s="23">
        <v>-192.047</v>
      </c>
      <c r="V70" s="33">
        <f>'Cash Flow - FY'!G62</f>
        <v>-314.97500000000002</v>
      </c>
      <c r="W70" s="23">
        <v>-42.750999999999998</v>
      </c>
      <c r="X70" s="23">
        <v>-104.446</v>
      </c>
      <c r="Y70" s="23">
        <v>-168.87</v>
      </c>
      <c r="Z70" s="33">
        <f>'Cash Flow - FY'!H62</f>
        <v>-365.81299999999999</v>
      </c>
      <c r="AA70" s="23">
        <v>-50.063000000000002</v>
      </c>
      <c r="AB70" s="23">
        <v>-116.39400000000001</v>
      </c>
      <c r="AC70" s="23">
        <f>-266.268209-AC71</f>
        <v>-189.77520900000002</v>
      </c>
      <c r="AD70" s="33">
        <f>+'Cash Flow - FY'!I62</f>
        <v>-384.07665945962418</v>
      </c>
      <c r="AE70" s="23">
        <v>-51.673999999999999</v>
      </c>
      <c r="AF70" s="23">
        <f>-AF71-214.26264915732</f>
        <v>-137.82364915732001</v>
      </c>
      <c r="AG70" s="23">
        <f>-292.286-AG71</f>
        <v>-224.417</v>
      </c>
      <c r="AH70" s="33">
        <f>'Cash Flow - FY'!J62</f>
        <v>-387.3034040372188</v>
      </c>
      <c r="AI70" s="23">
        <v>-57.8</v>
      </c>
      <c r="AJ70" s="23">
        <v>-120.7</v>
      </c>
      <c r="AK70" s="23">
        <v>-212.1</v>
      </c>
      <c r="AL70" s="33">
        <f>'Cash Flow - FY'!K62</f>
        <v>-394.11599999999999</v>
      </c>
      <c r="AM70" s="130"/>
    </row>
    <row r="71" spans="1:40" ht="12.5" hidden="1" outlineLevel="1">
      <c r="A71" s="90" t="s">
        <v>238</v>
      </c>
      <c r="B71" s="91"/>
      <c r="C71" s="23">
        <v>0</v>
      </c>
      <c r="D71" s="23">
        <v>0</v>
      </c>
      <c r="E71" s="23">
        <v>0</v>
      </c>
      <c r="F71" s="33">
        <f>'Cash Flow - FY'!C63</f>
        <v>0</v>
      </c>
      <c r="G71" s="23">
        <v>0</v>
      </c>
      <c r="H71" s="23">
        <v>-51.430999999999997</v>
      </c>
      <c r="I71" s="23">
        <v>-50.985999999999997</v>
      </c>
      <c r="J71" s="33">
        <f>'Cash Flow - FY'!D63</f>
        <v>-6.2910000000000004</v>
      </c>
      <c r="K71" s="23">
        <v>-20.52</v>
      </c>
      <c r="L71" s="23">
        <v>-33.825000000000003</v>
      </c>
      <c r="M71" s="23">
        <v>-52.078000000000003</v>
      </c>
      <c r="N71" s="33">
        <f>'Cash Flow - FY'!E63</f>
        <v>3.7639999999999998</v>
      </c>
      <c r="O71" s="23">
        <v>-46.067999999999998</v>
      </c>
      <c r="P71" s="23">
        <v>-57.642000000000003</v>
      </c>
      <c r="Q71" s="23">
        <v>-70.087999999999994</v>
      </c>
      <c r="R71" s="33">
        <f>'Cash Flow - FY'!F63</f>
        <v>-53.371000000000002</v>
      </c>
      <c r="S71" s="23">
        <v>3.444</v>
      </c>
      <c r="T71" s="23">
        <v>24.963999999999999</v>
      </c>
      <c r="U71" s="23">
        <v>-12.202</v>
      </c>
      <c r="V71" s="33">
        <f>'Cash Flow - FY'!G63</f>
        <v>58.883000000000003</v>
      </c>
      <c r="W71" s="23">
        <v>-42.722999999999999</v>
      </c>
      <c r="X71" s="23">
        <v>-39.091999999999999</v>
      </c>
      <c r="Y71" s="23">
        <f>-201.497-Y70</f>
        <v>-32.62700000000001</v>
      </c>
      <c r="Z71" s="33">
        <f>'Cash Flow - FY'!H63</f>
        <v>62.322000000000003</v>
      </c>
      <c r="AA71" s="155">
        <v>-70.921000000000006</v>
      </c>
      <c r="AB71" s="157">
        <v>-76.849999999999994</v>
      </c>
      <c r="AC71" s="157">
        <v>-76.492999999999995</v>
      </c>
      <c r="AD71" s="33">
        <f>+'Cash Flow - FY'!I63</f>
        <v>6.6634644596237536</v>
      </c>
      <c r="AE71" s="23">
        <f>-114.572-AE70</f>
        <v>-62.898000000000003</v>
      </c>
      <c r="AF71" s="23">
        <v>-76.438999999999993</v>
      </c>
      <c r="AG71" s="157">
        <v>-67.869</v>
      </c>
      <c r="AH71" s="188">
        <f>'Cash Flow - FY'!J63</f>
        <v>11.231999999999999</v>
      </c>
      <c r="AI71" s="157">
        <f>-122.278-AI70</f>
        <v>-64.478000000000009</v>
      </c>
      <c r="AJ71" s="23">
        <f>-211.741-AJ70</f>
        <v>-91.041000000000011</v>
      </c>
      <c r="AK71" s="23">
        <f>-286.64-AK70</f>
        <v>-74.539999999999992</v>
      </c>
      <c r="AL71" s="33">
        <f>'Cash Flow - FY'!K63</f>
        <v>41.83</v>
      </c>
      <c r="AM71" s="130"/>
    </row>
    <row r="72" spans="1:40" ht="12.5" hidden="1" outlineLevel="1">
      <c r="A72" s="87" t="s">
        <v>268</v>
      </c>
      <c r="B72" s="92"/>
      <c r="C72" s="24">
        <v>2.4790000000000001</v>
      </c>
      <c r="D72" s="24">
        <v>3.9319999999999999</v>
      </c>
      <c r="E72" s="24">
        <v>5.0986470000000006</v>
      </c>
      <c r="F72" s="48">
        <f>'Cash Flow - FY'!C64</f>
        <v>73.504999999999995</v>
      </c>
      <c r="G72" s="24">
        <v>4.18</v>
      </c>
      <c r="H72" s="24">
        <v>2.9020000000000001</v>
      </c>
      <c r="I72" s="24">
        <v>10.195</v>
      </c>
      <c r="J72" s="48">
        <f>'Cash Flow - FY'!D64</f>
        <v>16.222999999999999</v>
      </c>
      <c r="K72" s="24">
        <v>1.9390000000000001</v>
      </c>
      <c r="L72" s="23">
        <v>2.7770000000000001</v>
      </c>
      <c r="M72" s="23">
        <v>3.9049999999999998</v>
      </c>
      <c r="N72" s="51">
        <f>IFERROR(N73+N74,"n.a.")</f>
        <v>7.6609999999999996</v>
      </c>
      <c r="O72" s="51">
        <f>IFERROR(O73+O74,"n.a.")</f>
        <v>0.23900000000000002</v>
      </c>
      <c r="P72" s="51">
        <f t="shared" ref="P72:U72" si="66">IFERROR(P73+P74,"n.a.")</f>
        <v>1.542</v>
      </c>
      <c r="Q72" s="51">
        <f t="shared" si="66"/>
        <v>3.1160000000000001</v>
      </c>
      <c r="R72" s="51">
        <f t="shared" si="66"/>
        <v>5.6840000000000002</v>
      </c>
      <c r="S72" s="51">
        <f t="shared" si="66"/>
        <v>5.319</v>
      </c>
      <c r="T72" s="51">
        <f t="shared" si="66"/>
        <v>6.048</v>
      </c>
      <c r="U72" s="51">
        <f t="shared" si="66"/>
        <v>7.6239999999999997</v>
      </c>
      <c r="V72" s="51">
        <f t="shared" ref="V72:AC72" si="67">IFERROR(V73+V74,"n.a.")</f>
        <v>8.777000000000001</v>
      </c>
      <c r="W72" s="51">
        <f t="shared" si="67"/>
        <v>1.8220000000000001</v>
      </c>
      <c r="X72" s="51">
        <f t="shared" si="67"/>
        <v>2.7050000000000001</v>
      </c>
      <c r="Y72" s="51">
        <f t="shared" si="67"/>
        <v>4.2169999999999996</v>
      </c>
      <c r="Z72" s="51">
        <f t="shared" si="67"/>
        <v>4.3747880000000006</v>
      </c>
      <c r="AA72" s="51">
        <f t="shared" si="67"/>
        <v>2.7210000000000001</v>
      </c>
      <c r="AB72" s="51">
        <f t="shared" si="67"/>
        <v>1.48</v>
      </c>
      <c r="AC72" s="51">
        <f t="shared" si="67"/>
        <v>1.6545029999999983</v>
      </c>
      <c r="AD72" s="51">
        <f t="shared" ref="AD72:AI72" si="68">IFERROR(AD73+AD74,"n.a.")</f>
        <v>2.206639</v>
      </c>
      <c r="AE72" s="51">
        <f t="shared" si="68"/>
        <v>0.7550030000000002</v>
      </c>
      <c r="AF72" s="51">
        <f t="shared" si="68"/>
        <v>1.4376150000000021</v>
      </c>
      <c r="AG72" s="51">
        <f t="shared" si="68"/>
        <v>0.74557800000000174</v>
      </c>
      <c r="AH72" s="51">
        <f t="shared" si="68"/>
        <v>2.2371829999999964</v>
      </c>
      <c r="AI72" s="51">
        <f t="shared" si="68"/>
        <v>3.7266449999999995</v>
      </c>
      <c r="AJ72" s="51">
        <f t="shared" ref="AJ72" si="69">IFERROR(AJ73+AJ74,"n.a.")</f>
        <v>3.1354259999999998</v>
      </c>
      <c r="AK72" s="51">
        <f t="shared" ref="AK72:AL72" si="70">IFERROR(AK73+AK74,"n.a.")</f>
        <v>3.3591519999999999</v>
      </c>
      <c r="AL72" s="51">
        <f t="shared" si="70"/>
        <v>3.259296</v>
      </c>
      <c r="AM72" s="130"/>
    </row>
    <row r="73" spans="1:40" ht="12.5" hidden="1" outlineLevel="2">
      <c r="A73" s="85" t="s">
        <v>269</v>
      </c>
      <c r="B73" s="92"/>
      <c r="C73" s="24" t="s">
        <v>164</v>
      </c>
      <c r="D73" s="24" t="s">
        <v>164</v>
      </c>
      <c r="E73" s="24" t="s">
        <v>164</v>
      </c>
      <c r="F73" s="48" t="str">
        <f>'Cash Flow - FY'!C65</f>
        <v>n.a.</v>
      </c>
      <c r="G73" s="24" t="s">
        <v>164</v>
      </c>
      <c r="H73" s="24" t="s">
        <v>164</v>
      </c>
      <c r="I73" s="24" t="s">
        <v>164</v>
      </c>
      <c r="J73" s="48" t="str">
        <f>'Cash Flow - FY'!D65</f>
        <v>n.a.</v>
      </c>
      <c r="K73" s="24" t="s">
        <v>164</v>
      </c>
      <c r="L73" s="24" t="s">
        <v>164</v>
      </c>
      <c r="M73" s="24" t="s">
        <v>164</v>
      </c>
      <c r="N73" s="48">
        <f>'Cash Flow - FY'!E65</f>
        <v>7.6459999999999999</v>
      </c>
      <c r="O73" s="24">
        <v>0.23100000000000001</v>
      </c>
      <c r="P73" s="24">
        <v>1.534</v>
      </c>
      <c r="Q73" s="24">
        <v>3.1080000000000001</v>
      </c>
      <c r="R73" s="48">
        <f>'Cash Flow - FY'!F65</f>
        <v>5.4050000000000002</v>
      </c>
      <c r="S73" s="24">
        <v>5.3140000000000001</v>
      </c>
      <c r="T73" s="24">
        <v>5.81</v>
      </c>
      <c r="U73" s="23">
        <v>7.3819999999999997</v>
      </c>
      <c r="V73" s="48">
        <f>'Cash Flow - FY'!G65</f>
        <v>8.5340000000000007</v>
      </c>
      <c r="W73" s="24">
        <v>1.8220000000000001</v>
      </c>
      <c r="X73" s="24">
        <v>2.7050000000000001</v>
      </c>
      <c r="Y73" s="23">
        <v>4.2169999999999996</v>
      </c>
      <c r="Z73" s="48">
        <f>'Cash Flow - FY'!H65</f>
        <v>4.0981680000000003</v>
      </c>
      <c r="AA73" s="24">
        <v>2.7210000000000001</v>
      </c>
      <c r="AB73" s="24">
        <v>1.48</v>
      </c>
      <c r="AC73" s="24">
        <v>1.6545029999999983</v>
      </c>
      <c r="AD73" s="48">
        <f>+'Cash Flow - FY'!I65</f>
        <v>2.206639</v>
      </c>
      <c r="AE73" s="24">
        <v>0.7550030000000002</v>
      </c>
      <c r="AF73" s="24">
        <v>1.4376150000000021</v>
      </c>
      <c r="AG73" s="24">
        <v>0.74557800000000174</v>
      </c>
      <c r="AH73" s="48">
        <f>'Cash Flow - FY'!J65</f>
        <v>2.2331829999999964</v>
      </c>
      <c r="AI73" s="24">
        <v>1.7556449999999992</v>
      </c>
      <c r="AJ73" s="24">
        <v>3.1354259999999998</v>
      </c>
      <c r="AK73" s="24">
        <v>3.3591519999999999</v>
      </c>
      <c r="AL73" s="33">
        <f>'Cash Flow - FY'!K65</f>
        <v>3.259296</v>
      </c>
      <c r="AM73" s="130"/>
    </row>
    <row r="74" spans="1:40" ht="12.5" hidden="1" outlineLevel="2">
      <c r="A74" s="85" t="s">
        <v>270</v>
      </c>
      <c r="B74" s="92"/>
      <c r="C74" s="24" t="s">
        <v>164</v>
      </c>
      <c r="D74" s="24" t="s">
        <v>164</v>
      </c>
      <c r="E74" s="24" t="s">
        <v>164</v>
      </c>
      <c r="F74" s="48" t="str">
        <f>'Cash Flow - FY'!C66</f>
        <v>n.a.</v>
      </c>
      <c r="G74" s="24" t="s">
        <v>164</v>
      </c>
      <c r="H74" s="24" t="s">
        <v>164</v>
      </c>
      <c r="I74" s="24" t="s">
        <v>164</v>
      </c>
      <c r="J74" s="48" t="str">
        <f>'Cash Flow - FY'!D66</f>
        <v>n.a.</v>
      </c>
      <c r="K74" s="24" t="s">
        <v>164</v>
      </c>
      <c r="L74" s="24" t="s">
        <v>164</v>
      </c>
      <c r="M74" s="24" t="s">
        <v>164</v>
      </c>
      <c r="N74" s="48">
        <f>'Cash Flow - FY'!E66</f>
        <v>1.4999999999999999E-2</v>
      </c>
      <c r="O74" s="24">
        <v>8.0000000000000002E-3</v>
      </c>
      <c r="P74" s="24">
        <v>8.0000000000000002E-3</v>
      </c>
      <c r="Q74" s="24">
        <v>8.0000000000000002E-3</v>
      </c>
      <c r="R74" s="48">
        <f>'Cash Flow - FY'!F66</f>
        <v>0.27900000000000003</v>
      </c>
      <c r="S74" s="24">
        <v>5.0000000000000001E-3</v>
      </c>
      <c r="T74" s="24">
        <v>0.23799999999999999</v>
      </c>
      <c r="U74" s="24">
        <v>0.24199999999999999</v>
      </c>
      <c r="V74" s="48">
        <f>'Cash Flow - FY'!G66</f>
        <v>0.24299999999999999</v>
      </c>
      <c r="W74" s="24">
        <v>0</v>
      </c>
      <c r="X74" s="24">
        <v>0</v>
      </c>
      <c r="Y74" s="24">
        <v>0</v>
      </c>
      <c r="Z74" s="48">
        <f>'Cash Flow - FY'!H66</f>
        <v>0.27661999999999998</v>
      </c>
      <c r="AA74" s="24">
        <v>0</v>
      </c>
      <c r="AB74" s="24">
        <v>0</v>
      </c>
      <c r="AC74" s="24">
        <v>0</v>
      </c>
      <c r="AD74" s="48">
        <f>+'Cash Flow - FY'!I66</f>
        <v>0</v>
      </c>
      <c r="AE74" s="24">
        <v>0</v>
      </c>
      <c r="AF74" s="24">
        <v>0</v>
      </c>
      <c r="AG74" s="24">
        <v>0</v>
      </c>
      <c r="AH74" s="48">
        <f>'Cash Flow - FY'!J66</f>
        <v>4.0000000000000001E-3</v>
      </c>
      <c r="AI74" s="24">
        <v>1.9710000000000001</v>
      </c>
      <c r="AJ74" s="24">
        <v>0</v>
      </c>
      <c r="AK74" s="24">
        <v>0</v>
      </c>
      <c r="AL74" s="33">
        <f>'Cash Flow - FY'!K66</f>
        <v>0</v>
      </c>
      <c r="AM74" s="130"/>
    </row>
    <row r="75" spans="1:40" ht="12.5" hidden="1" outlineLevel="1">
      <c r="A75" s="87" t="s">
        <v>81</v>
      </c>
      <c r="B75" s="92"/>
      <c r="C75" s="24">
        <v>-0.94199999999999995</v>
      </c>
      <c r="D75" s="24">
        <v>-2.2869999999999999</v>
      </c>
      <c r="E75" s="24">
        <v>-3.5357220000000003</v>
      </c>
      <c r="F75" s="48">
        <f>'Cash Flow - FY'!C67</f>
        <v>-18.969000000000001</v>
      </c>
      <c r="G75" s="24">
        <v>-0.58399999999999996</v>
      </c>
      <c r="H75" s="24">
        <v>-2.4969999999999999</v>
      </c>
      <c r="I75" s="24">
        <v>-6.0759999999999996</v>
      </c>
      <c r="J75" s="48">
        <f>'Cash Flow - FY'!D67</f>
        <v>-11.64</v>
      </c>
      <c r="K75" s="24">
        <v>-0.52100000000000002</v>
      </c>
      <c r="L75" s="23">
        <v>-3.379</v>
      </c>
      <c r="M75" s="23">
        <v>-7.1360000000000001</v>
      </c>
      <c r="N75" s="48">
        <f>'Cash Flow - FY'!E67</f>
        <v>-20.812000000000001</v>
      </c>
      <c r="O75" s="24">
        <v>-2.976</v>
      </c>
      <c r="P75" s="23">
        <v>-7.21</v>
      </c>
      <c r="Q75" s="23">
        <v>-10.212</v>
      </c>
      <c r="R75" s="48">
        <f>'Cash Flow - FY'!F67</f>
        <v>-15.526999999999999</v>
      </c>
      <c r="S75" s="24">
        <v>-6.9580000000000002</v>
      </c>
      <c r="T75" s="23">
        <v>-16.135999999999999</v>
      </c>
      <c r="U75" s="23">
        <v>-21.207000000000001</v>
      </c>
      <c r="V75" s="48">
        <f>'Cash Flow - FY'!G67</f>
        <v>-30.579000000000001</v>
      </c>
      <c r="W75" s="24">
        <v>-5.8959999999999999</v>
      </c>
      <c r="X75" s="23">
        <v>-11.276999999999999</v>
      </c>
      <c r="Y75" s="23">
        <v>-19.841000000000001</v>
      </c>
      <c r="Z75" s="48">
        <f>'Cash Flow - FY'!H67</f>
        <v>-31.912368310920559</v>
      </c>
      <c r="AA75" s="24">
        <v>-3.0870000000000002</v>
      </c>
      <c r="AB75" s="23">
        <v>-7.0910000000000002</v>
      </c>
      <c r="AC75" s="23">
        <v>-11.436844789704697</v>
      </c>
      <c r="AD75" s="33">
        <f>+'Cash Flow - FY'!I67</f>
        <v>-21.623340540375825</v>
      </c>
      <c r="AE75" s="24">
        <v>-1.7359525184411762</v>
      </c>
      <c r="AF75" s="23">
        <v>-5.7296570658362853</v>
      </c>
      <c r="AG75" s="23">
        <v>-11.286716800600482</v>
      </c>
      <c r="AH75" s="33">
        <f>'Cash Flow - FY'!J67</f>
        <v>-27.596595962781183</v>
      </c>
      <c r="AI75" s="23">
        <v>-2.1750753435206933</v>
      </c>
      <c r="AJ75" s="23">
        <v>-7.2840382398033601</v>
      </c>
      <c r="AK75" s="23">
        <v>-11.4469582270368</v>
      </c>
      <c r="AL75" s="33">
        <f>'Cash Flow - FY'!K67</f>
        <v>-25.5804688427637</v>
      </c>
      <c r="AM75" s="130"/>
    </row>
    <row r="76" spans="1:40" ht="12.5" hidden="1" outlineLevel="2">
      <c r="A76" s="87" t="s">
        <v>226</v>
      </c>
      <c r="B76" s="92"/>
      <c r="C76" s="24">
        <v>0</v>
      </c>
      <c r="D76" s="24">
        <v>0</v>
      </c>
      <c r="E76" s="24">
        <v>0</v>
      </c>
      <c r="F76" s="48">
        <f>'Cash Flow - FY'!C68</f>
        <v>8.5559999999999992</v>
      </c>
      <c r="G76" s="24">
        <v>0</v>
      </c>
      <c r="H76" s="24">
        <v>0</v>
      </c>
      <c r="I76" s="24">
        <v>0</v>
      </c>
      <c r="J76" s="48">
        <f>'Cash Flow - FY'!D68</f>
        <v>2.6739999999999999</v>
      </c>
      <c r="K76" s="24">
        <v>0</v>
      </c>
      <c r="L76" s="23">
        <v>0</v>
      </c>
      <c r="M76" s="23">
        <v>0</v>
      </c>
      <c r="N76" s="48">
        <f>'Cash Flow - FY'!E68</f>
        <v>0</v>
      </c>
      <c r="O76" s="24">
        <v>0</v>
      </c>
      <c r="P76" s="23">
        <v>0</v>
      </c>
      <c r="Q76" s="23">
        <v>0</v>
      </c>
      <c r="R76" s="48">
        <f>'Cash Flow - FY'!F68</f>
        <v>0</v>
      </c>
      <c r="S76" s="24">
        <v>0</v>
      </c>
      <c r="T76" s="23">
        <v>0</v>
      </c>
      <c r="U76" s="23">
        <v>0</v>
      </c>
      <c r="V76" s="48">
        <f>'Cash Flow - FY'!G68</f>
        <v>0</v>
      </c>
      <c r="W76" s="24">
        <v>0</v>
      </c>
      <c r="X76" s="23">
        <v>0</v>
      </c>
      <c r="Y76" s="23">
        <v>0</v>
      </c>
      <c r="Z76" s="48">
        <f>'Cash Flow - FY'!H68</f>
        <v>0</v>
      </c>
      <c r="AA76" s="24">
        <v>0</v>
      </c>
      <c r="AB76" s="23">
        <v>0</v>
      </c>
      <c r="AC76" s="23">
        <v>0</v>
      </c>
      <c r="AD76" s="33">
        <f>+'Cash Flow - FY'!I68</f>
        <v>0</v>
      </c>
      <c r="AE76" s="24">
        <v>0</v>
      </c>
      <c r="AF76" s="23">
        <v>0</v>
      </c>
      <c r="AG76" s="23">
        <v>0</v>
      </c>
      <c r="AH76" s="33">
        <f>'Cash Flow - FY'!J68</f>
        <v>9.65</v>
      </c>
      <c r="AI76" s="23">
        <v>0</v>
      </c>
      <c r="AJ76" s="23">
        <v>3.07</v>
      </c>
      <c r="AK76" s="23">
        <v>0</v>
      </c>
      <c r="AL76" s="33">
        <f>'Cash Flow - FY'!K68</f>
        <v>0</v>
      </c>
      <c r="AM76" s="130"/>
    </row>
    <row r="77" spans="1:40" ht="12.5" hidden="1" outlineLevel="1">
      <c r="A77" s="87" t="s">
        <v>284</v>
      </c>
      <c r="B77" s="92"/>
      <c r="C77" s="24">
        <v>0</v>
      </c>
      <c r="D77" s="24">
        <v>0</v>
      </c>
      <c r="E77" s="24">
        <v>-15.461776984013937</v>
      </c>
      <c r="F77" s="48">
        <f>'Cash Flow - FY'!C69</f>
        <v>-15.638999999999999</v>
      </c>
      <c r="G77" s="24">
        <v>0</v>
      </c>
      <c r="H77" s="24">
        <v>0</v>
      </c>
      <c r="I77" s="24">
        <v>0</v>
      </c>
      <c r="J77" s="48">
        <f>'Cash Flow - FY'!D69</f>
        <v>0</v>
      </c>
      <c r="K77" s="24">
        <v>10.7</v>
      </c>
      <c r="L77" s="23">
        <v>10.7</v>
      </c>
      <c r="M77" s="23">
        <v>10.7</v>
      </c>
      <c r="N77" s="48">
        <f>'Cash Flow - FY'!E69</f>
        <v>10.7</v>
      </c>
      <c r="O77" s="24">
        <v>6.9000000000000006E-2</v>
      </c>
      <c r="P77" s="23">
        <v>6.9000000000000006E-2</v>
      </c>
      <c r="Q77" s="23">
        <v>6.9000000000000006E-2</v>
      </c>
      <c r="R77" s="48">
        <f>'Cash Flow - FY'!F69</f>
        <v>6.9000000000000006E-2</v>
      </c>
      <c r="S77" s="23">
        <v>4.3550000000000004</v>
      </c>
      <c r="T77" s="23">
        <v>4.3550000000000004</v>
      </c>
      <c r="U77" s="23">
        <v>4.407</v>
      </c>
      <c r="V77" s="48">
        <f>'Cash Flow - FY'!G69</f>
        <v>4.407</v>
      </c>
      <c r="W77" s="24">
        <v>0</v>
      </c>
      <c r="X77" s="23">
        <v>0</v>
      </c>
      <c r="Y77" s="23">
        <v>0</v>
      </c>
      <c r="Z77" s="48">
        <f>'Cash Flow - FY'!H69</f>
        <v>0</v>
      </c>
      <c r="AA77" s="24">
        <v>0</v>
      </c>
      <c r="AB77" s="23">
        <v>0</v>
      </c>
      <c r="AC77" s="23">
        <v>0</v>
      </c>
      <c r="AD77" s="33">
        <f>+'Cash Flow - FY'!I69</f>
        <v>0</v>
      </c>
      <c r="AE77" s="24">
        <v>-20.2331113313979</v>
      </c>
      <c r="AF77" s="23">
        <v>-20.202000000000002</v>
      </c>
      <c r="AG77" s="23">
        <v>-20.205366267878265</v>
      </c>
      <c r="AH77" s="33">
        <f>'Cash Flow - FY'!J69</f>
        <v>-20.268000000000001</v>
      </c>
      <c r="AI77" s="23">
        <v>-2.4725370000000004</v>
      </c>
      <c r="AJ77" s="23">
        <f>19.233-2.473</f>
        <v>16.760000000000002</v>
      </c>
      <c r="AK77" s="23">
        <f>19.233-2.473</f>
        <v>16.760000000000002</v>
      </c>
      <c r="AL77" s="33">
        <f>'Cash Flow - FY'!K69</f>
        <v>15.411301</v>
      </c>
      <c r="AM77" s="130"/>
    </row>
    <row r="78" spans="1:40" ht="12.5" hidden="1" outlineLevel="1">
      <c r="A78" s="87" t="s">
        <v>227</v>
      </c>
      <c r="B78" s="92"/>
      <c r="C78" s="24">
        <v>0</v>
      </c>
      <c r="D78" s="24">
        <v>0</v>
      </c>
      <c r="E78" s="24">
        <v>0</v>
      </c>
      <c r="F78" s="48">
        <f>'Cash Flow - FY'!C70</f>
        <v>0</v>
      </c>
      <c r="G78" s="24">
        <v>-18.492000000000001</v>
      </c>
      <c r="H78" s="24">
        <v>-18.492000000000001</v>
      </c>
      <c r="I78" s="24">
        <v>-18.492000000000001</v>
      </c>
      <c r="J78" s="48">
        <f>'Cash Flow - FY'!D70</f>
        <v>-49.722000000000001</v>
      </c>
      <c r="K78" s="24">
        <v>0</v>
      </c>
      <c r="L78" s="23">
        <v>0</v>
      </c>
      <c r="M78" s="23">
        <v>0</v>
      </c>
      <c r="N78" s="48">
        <f>'Cash Flow - FY'!E70</f>
        <v>0</v>
      </c>
      <c r="O78" s="24">
        <v>0</v>
      </c>
      <c r="P78" s="23">
        <v>0</v>
      </c>
      <c r="Q78" s="23">
        <v>0</v>
      </c>
      <c r="R78" s="48">
        <f>'Cash Flow - FY'!F70</f>
        <v>0</v>
      </c>
      <c r="S78" s="24">
        <v>0</v>
      </c>
      <c r="T78" s="23">
        <v>0</v>
      </c>
      <c r="U78" s="23">
        <v>0</v>
      </c>
      <c r="V78" s="48">
        <f>'Cash Flow - FY'!G70</f>
        <v>0</v>
      </c>
      <c r="W78" s="24">
        <v>0</v>
      </c>
      <c r="X78" s="24">
        <v>0</v>
      </c>
      <c r="Y78" s="23">
        <v>0</v>
      </c>
      <c r="Z78" s="48">
        <f>'Cash Flow - FY'!H70</f>
        <v>0</v>
      </c>
      <c r="AA78" s="24">
        <v>0</v>
      </c>
      <c r="AB78" s="24">
        <v>0</v>
      </c>
      <c r="AC78" s="24">
        <v>0</v>
      </c>
      <c r="AD78" s="48">
        <f>+'Cash Flow - FY'!I70</f>
        <v>0</v>
      </c>
      <c r="AE78" s="24">
        <v>0</v>
      </c>
      <c r="AF78" s="24">
        <v>-6.5000000000000002E-2</v>
      </c>
      <c r="AG78" s="24">
        <v>0</v>
      </c>
      <c r="AH78" s="48">
        <f>'Cash Flow - FY'!J70</f>
        <v>0</v>
      </c>
      <c r="AI78" s="24">
        <v>0</v>
      </c>
      <c r="AJ78" s="24">
        <v>0</v>
      </c>
      <c r="AK78" s="24">
        <v>0</v>
      </c>
      <c r="AL78" s="33">
        <f>'Cash Flow - FY'!K70</f>
        <v>0</v>
      </c>
      <c r="AM78" s="130"/>
    </row>
    <row r="79" spans="1:40" ht="12.5" hidden="1" outlineLevel="1">
      <c r="A79" s="87" t="s">
        <v>82</v>
      </c>
      <c r="B79" s="92"/>
      <c r="C79" s="24">
        <v>0</v>
      </c>
      <c r="D79" s="24">
        <v>0</v>
      </c>
      <c r="E79" s="24">
        <v>0</v>
      </c>
      <c r="F79" s="48">
        <f>'Cash Flow - FY'!C71</f>
        <v>17.183</v>
      </c>
      <c r="G79" s="24">
        <v>0</v>
      </c>
      <c r="H79" s="24">
        <v>0</v>
      </c>
      <c r="I79" s="24">
        <v>0</v>
      </c>
      <c r="J79" s="48">
        <f>'Cash Flow - FY'!D71</f>
        <v>-65.221999999999994</v>
      </c>
      <c r="K79" s="24">
        <v>-8.9250000000000007</v>
      </c>
      <c r="L79" s="23">
        <v>-8.9250000000000007</v>
      </c>
      <c r="M79" s="23">
        <v>-8.9250000000000007</v>
      </c>
      <c r="N79" s="48">
        <f>'Cash Flow - FY'!E71</f>
        <v>-8.9250000000000007</v>
      </c>
      <c r="O79" s="24">
        <v>0</v>
      </c>
      <c r="P79" s="23">
        <v>0</v>
      </c>
      <c r="Q79" s="23">
        <v>0</v>
      </c>
      <c r="R79" s="48">
        <f>'Cash Flow - FY'!F71</f>
        <v>0</v>
      </c>
      <c r="S79" s="24">
        <v>0</v>
      </c>
      <c r="T79" s="23">
        <v>0</v>
      </c>
      <c r="U79" s="23">
        <v>0</v>
      </c>
      <c r="V79" s="48">
        <f>'Cash Flow - FY'!G71</f>
        <v>0</v>
      </c>
      <c r="W79" s="24">
        <v>0</v>
      </c>
      <c r="X79" s="24">
        <v>1.1519999999999999</v>
      </c>
      <c r="Y79" s="23">
        <v>1.278</v>
      </c>
      <c r="Z79" s="48">
        <f>'Cash Flow - FY'!H71</f>
        <v>1.33</v>
      </c>
      <c r="AA79" s="24">
        <v>0</v>
      </c>
      <c r="AB79" s="24">
        <v>0</v>
      </c>
      <c r="AC79" s="24">
        <v>0</v>
      </c>
      <c r="AD79" s="48">
        <f>+'Cash Flow - FY'!I71</f>
        <v>0</v>
      </c>
      <c r="AE79" s="24">
        <v>0</v>
      </c>
      <c r="AF79" s="24">
        <v>0</v>
      </c>
      <c r="AG79" s="24">
        <v>-0.23100000000000001</v>
      </c>
      <c r="AH79" s="48">
        <f>'Cash Flow - FY'!J71</f>
        <v>-12.071</v>
      </c>
      <c r="AI79" s="24">
        <v>-12.837999999999999</v>
      </c>
      <c r="AJ79" s="24">
        <v>-12.837999999999999</v>
      </c>
      <c r="AK79" s="203">
        <v>-13.337999999999999</v>
      </c>
      <c r="AL79" s="33">
        <f>'Cash Flow - FY'!K71</f>
        <v>-21.033999999999999</v>
      </c>
      <c r="AM79" s="130"/>
    </row>
    <row r="80" spans="1:40" ht="12.5" hidden="1" outlineLevel="1">
      <c r="A80" s="87" t="s">
        <v>228</v>
      </c>
      <c r="B80" s="92"/>
      <c r="C80" s="24">
        <v>-1.6779999999999999</v>
      </c>
      <c r="D80" s="24">
        <v>-2.4590000000000001</v>
      </c>
      <c r="E80" s="24">
        <v>-2.4590000000000001</v>
      </c>
      <c r="F80" s="48">
        <f>'Cash Flow - FY'!C72</f>
        <v>-2.4649999999999999</v>
      </c>
      <c r="G80" s="24">
        <v>152.80799999999999</v>
      </c>
      <c r="H80" s="24">
        <v>152.80799999999999</v>
      </c>
      <c r="I80" s="24">
        <v>152.80799999999999</v>
      </c>
      <c r="J80" s="48">
        <f>'Cash Flow - FY'!D72</f>
        <v>152.80799999999999</v>
      </c>
      <c r="K80" s="24">
        <v>0</v>
      </c>
      <c r="L80" s="23">
        <v>0</v>
      </c>
      <c r="M80" s="23">
        <v>0</v>
      </c>
      <c r="N80" s="48">
        <f>'Cash Flow - FY'!E72</f>
        <v>0</v>
      </c>
      <c r="O80" s="24">
        <v>0</v>
      </c>
      <c r="P80" s="23">
        <v>0</v>
      </c>
      <c r="Q80" s="23">
        <v>0</v>
      </c>
      <c r="R80" s="48">
        <f>'Cash Flow - FY'!F72</f>
        <v>0</v>
      </c>
      <c r="S80" s="24">
        <v>0</v>
      </c>
      <c r="T80" s="23">
        <v>0</v>
      </c>
      <c r="U80" s="23">
        <v>0</v>
      </c>
      <c r="V80" s="48">
        <f>'Cash Flow - FY'!G72</f>
        <v>0</v>
      </c>
      <c r="W80" s="24">
        <v>0</v>
      </c>
      <c r="X80" s="24">
        <v>0</v>
      </c>
      <c r="Y80" s="23">
        <v>0</v>
      </c>
      <c r="Z80" s="48">
        <f>'Cash Flow - FY'!H72</f>
        <v>0</v>
      </c>
      <c r="AA80" s="24">
        <v>0</v>
      </c>
      <c r="AB80" s="24">
        <v>0</v>
      </c>
      <c r="AC80" s="24">
        <v>0</v>
      </c>
      <c r="AD80" s="48">
        <f>+'Cash Flow - FY'!I72</f>
        <v>0</v>
      </c>
      <c r="AE80" s="24">
        <v>0</v>
      </c>
      <c r="AF80" s="24">
        <v>0</v>
      </c>
      <c r="AG80" s="24">
        <v>-0.64400000000000002</v>
      </c>
      <c r="AH80" s="48">
        <f>'Cash Flow - FY'!J72</f>
        <v>0</v>
      </c>
      <c r="AI80" s="24">
        <v>0</v>
      </c>
      <c r="AJ80" s="24">
        <v>-0.70399999999999996</v>
      </c>
      <c r="AK80" s="24">
        <v>-1.3049999999999999</v>
      </c>
      <c r="AL80" s="33">
        <f>'Cash Flow - FY'!K72</f>
        <v>0</v>
      </c>
      <c r="AM80" s="130"/>
    </row>
    <row r="81" spans="1:40" ht="12.5" hidden="1" outlineLevel="1">
      <c r="A81" s="87" t="s">
        <v>279</v>
      </c>
      <c r="B81" s="92"/>
      <c r="C81" s="24">
        <v>0</v>
      </c>
      <c r="D81" s="24">
        <v>0</v>
      </c>
      <c r="E81" s="24">
        <v>0</v>
      </c>
      <c r="F81" s="48">
        <f>'Cash Flow - FY'!C73</f>
        <v>0</v>
      </c>
      <c r="G81" s="24">
        <v>0</v>
      </c>
      <c r="H81" s="24">
        <v>0</v>
      </c>
      <c r="I81" s="24">
        <v>0</v>
      </c>
      <c r="J81" s="48">
        <f>'Cash Flow - FY'!D73</f>
        <v>0</v>
      </c>
      <c r="K81" s="24">
        <v>0</v>
      </c>
      <c r="L81" s="23">
        <v>0</v>
      </c>
      <c r="M81" s="23">
        <v>0</v>
      </c>
      <c r="N81" s="48">
        <f>'Cash Flow - FY'!E73</f>
        <v>0</v>
      </c>
      <c r="O81" s="24">
        <v>0</v>
      </c>
      <c r="P81" s="23">
        <v>0</v>
      </c>
      <c r="Q81" s="23">
        <v>0</v>
      </c>
      <c r="R81" s="48">
        <f>'Cash Flow - FY'!F73</f>
        <v>0</v>
      </c>
      <c r="S81" s="24">
        <v>-0.45</v>
      </c>
      <c r="T81" s="23">
        <v>-0.45</v>
      </c>
      <c r="U81" s="23">
        <v>-0.45</v>
      </c>
      <c r="V81" s="48">
        <f>'Cash Flow - FY'!G73</f>
        <v>-0.45</v>
      </c>
      <c r="W81" s="24">
        <v>0</v>
      </c>
      <c r="X81" s="23">
        <v>0</v>
      </c>
      <c r="Y81" s="23">
        <v>0</v>
      </c>
      <c r="Z81" s="48">
        <f>'Cash Flow - FY'!H73</f>
        <v>0</v>
      </c>
      <c r="AA81" s="24">
        <v>0</v>
      </c>
      <c r="AB81" s="23">
        <v>0</v>
      </c>
      <c r="AC81" s="23">
        <v>0</v>
      </c>
      <c r="AD81" s="33">
        <f>+'Cash Flow - FY'!I73</f>
        <v>0</v>
      </c>
      <c r="AE81" s="24">
        <v>0</v>
      </c>
      <c r="AF81" s="23">
        <v>0</v>
      </c>
      <c r="AG81" s="23">
        <v>0</v>
      </c>
      <c r="AH81" s="33">
        <f>'Cash Flow - FY'!J73</f>
        <v>-0.55500000000000005</v>
      </c>
      <c r="AI81" s="23">
        <v>0</v>
      </c>
      <c r="AJ81" s="23">
        <v>0</v>
      </c>
      <c r="AK81" s="23">
        <v>0</v>
      </c>
      <c r="AL81" s="33">
        <f>'Cash Flow - FY'!K73</f>
        <v>12.176</v>
      </c>
      <c r="AM81" s="130"/>
    </row>
    <row r="82" spans="1:40" ht="12.5" hidden="1" outlineLevel="2">
      <c r="A82" s="87" t="s">
        <v>196</v>
      </c>
      <c r="B82" s="92"/>
      <c r="C82" s="24">
        <v>0</v>
      </c>
      <c r="D82" s="24">
        <v>0</v>
      </c>
      <c r="E82" s="24">
        <v>0</v>
      </c>
      <c r="F82" s="48">
        <f>'Cash Flow - FY'!C74</f>
        <v>0</v>
      </c>
      <c r="G82" s="24">
        <v>0</v>
      </c>
      <c r="H82" s="24">
        <v>0</v>
      </c>
      <c r="I82" s="24">
        <v>0</v>
      </c>
      <c r="J82" s="48">
        <f>'Cash Flow - FY'!D74</f>
        <v>-1.393</v>
      </c>
      <c r="K82" s="24">
        <v>0</v>
      </c>
      <c r="L82" s="23">
        <v>0</v>
      </c>
      <c r="M82" s="23">
        <v>0</v>
      </c>
      <c r="N82" s="48">
        <f>'Cash Flow - FY'!E74</f>
        <v>0</v>
      </c>
      <c r="O82" s="24">
        <v>0</v>
      </c>
      <c r="P82" s="23">
        <v>0</v>
      </c>
      <c r="Q82" s="23">
        <v>0</v>
      </c>
      <c r="R82" s="48">
        <f>'Cash Flow - FY'!F74</f>
        <v>0</v>
      </c>
      <c r="S82" s="24">
        <v>0</v>
      </c>
      <c r="T82" s="23">
        <v>0</v>
      </c>
      <c r="U82" s="23">
        <v>0</v>
      </c>
      <c r="V82" s="48">
        <f>'Cash Flow - FY'!G74</f>
        <v>0</v>
      </c>
      <c r="W82" s="24">
        <v>0</v>
      </c>
      <c r="X82" s="23">
        <v>0</v>
      </c>
      <c r="Y82" s="23">
        <v>0</v>
      </c>
      <c r="Z82" s="48">
        <f>'Cash Flow - FY'!H74</f>
        <v>0</v>
      </c>
      <c r="AA82" s="24">
        <v>0</v>
      </c>
      <c r="AB82" s="23">
        <v>0</v>
      </c>
      <c r="AC82" s="23">
        <v>0</v>
      </c>
      <c r="AD82" s="33">
        <f>+'Cash Flow - FY'!I74</f>
        <v>0</v>
      </c>
      <c r="AE82" s="24">
        <v>0</v>
      </c>
      <c r="AF82" s="23">
        <v>0</v>
      </c>
      <c r="AG82" s="23">
        <v>0</v>
      </c>
      <c r="AH82" s="33">
        <f>'Cash Flow - FY'!J74</f>
        <v>0</v>
      </c>
      <c r="AI82" s="23">
        <v>0</v>
      </c>
      <c r="AJ82" s="23">
        <v>0</v>
      </c>
      <c r="AK82" s="23">
        <v>0</v>
      </c>
      <c r="AL82" s="33">
        <f>'Cash Flow - FY'!K74</f>
        <v>0</v>
      </c>
      <c r="AM82" s="130"/>
    </row>
    <row r="83" spans="1:40" ht="12.5" hidden="1" outlineLevel="1">
      <c r="A83" s="87" t="s">
        <v>260</v>
      </c>
      <c r="B83" s="92"/>
      <c r="C83" s="51">
        <f t="shared" ref="C83:Q83" si="71">IFERROR(C84+C85,"n.a.")</f>
        <v>0</v>
      </c>
      <c r="D83" s="51">
        <f t="shared" si="71"/>
        <v>4.8000000000000001E-2</v>
      </c>
      <c r="E83" s="51">
        <f t="shared" si="71"/>
        <v>0.13700000000000001</v>
      </c>
      <c r="F83" s="51">
        <f t="shared" si="71"/>
        <v>9.8339999999999996</v>
      </c>
      <c r="G83" s="51">
        <f t="shared" si="71"/>
        <v>2.2240000000000002</v>
      </c>
      <c r="H83" s="51">
        <f t="shared" si="71"/>
        <v>3.0700000000000003</v>
      </c>
      <c r="I83" s="51">
        <f t="shared" si="71"/>
        <v>4.1459999999999999</v>
      </c>
      <c r="J83" s="51">
        <f t="shared" si="71"/>
        <v>4.1760000000000002</v>
      </c>
      <c r="K83" s="51">
        <f t="shared" si="71"/>
        <v>0</v>
      </c>
      <c r="L83" s="49">
        <f t="shared" si="71"/>
        <v>1.724</v>
      </c>
      <c r="M83" s="49">
        <f t="shared" si="71"/>
        <v>13.986000000000001</v>
      </c>
      <c r="N83" s="51">
        <f t="shared" si="71"/>
        <v>14.956</v>
      </c>
      <c r="O83" s="51">
        <f t="shared" si="71"/>
        <v>0</v>
      </c>
      <c r="P83" s="49">
        <f t="shared" si="71"/>
        <v>6.5000000000000002E-2</v>
      </c>
      <c r="Q83" s="49">
        <f t="shared" si="71"/>
        <v>6.5000000000000002E-2</v>
      </c>
      <c r="R83" s="48">
        <f>'Cash Flow - FY'!F75</f>
        <v>6.5000000000000002E-2</v>
      </c>
      <c r="S83" s="24">
        <v>1E-3</v>
      </c>
      <c r="T83" s="23">
        <v>0.96099999999999997</v>
      </c>
      <c r="U83" s="23">
        <v>0.97199999999999998</v>
      </c>
      <c r="V83" s="48">
        <f>'Cash Flow - FY'!G75</f>
        <v>2.274</v>
      </c>
      <c r="W83" s="24">
        <v>0</v>
      </c>
      <c r="X83" s="23">
        <v>1.732</v>
      </c>
      <c r="Y83" s="23">
        <v>1.734</v>
      </c>
      <c r="Z83" s="48">
        <f>'Cash Flow - FY'!H75</f>
        <v>3.23</v>
      </c>
      <c r="AA83" s="24">
        <v>0</v>
      </c>
      <c r="AB83" s="23">
        <v>1.552</v>
      </c>
      <c r="AC83" s="23">
        <v>2.2839999999999998</v>
      </c>
      <c r="AD83" s="33">
        <f>+'Cash Flow - FY'!I75</f>
        <v>4.2690000000000001</v>
      </c>
      <c r="AE83" s="24">
        <v>0</v>
      </c>
      <c r="AF83" s="23">
        <v>1.8220000000000001</v>
      </c>
      <c r="AG83" s="23">
        <v>1.988</v>
      </c>
      <c r="AH83" s="33">
        <f>'Cash Flow - FY'!J75</f>
        <v>3.9319999999999999</v>
      </c>
      <c r="AI83" s="23">
        <v>0</v>
      </c>
      <c r="AJ83" s="23">
        <v>1.978</v>
      </c>
      <c r="AK83" s="23">
        <v>2.6640000000000001</v>
      </c>
      <c r="AL83" s="33">
        <f>'Cash Flow - FY'!K75</f>
        <v>34.343000000000004</v>
      </c>
      <c r="AM83" s="130"/>
    </row>
    <row r="84" spans="1:40" ht="12.5" hidden="1" outlineLevel="2">
      <c r="A84" s="87" t="s">
        <v>229</v>
      </c>
      <c r="B84" s="92"/>
      <c r="C84" s="24">
        <v>0</v>
      </c>
      <c r="D84" s="24">
        <v>0</v>
      </c>
      <c r="E84" s="24">
        <v>0</v>
      </c>
      <c r="F84" s="48">
        <f>'Cash Flow - FY'!C76</f>
        <v>0</v>
      </c>
      <c r="G84" s="24">
        <v>0</v>
      </c>
      <c r="H84" s="24">
        <v>0</v>
      </c>
      <c r="I84" s="24">
        <v>0</v>
      </c>
      <c r="J84" s="48">
        <f>'Cash Flow - FY'!D76</f>
        <v>0</v>
      </c>
      <c r="K84" s="24">
        <v>0</v>
      </c>
      <c r="L84" s="23">
        <v>0</v>
      </c>
      <c r="M84" s="23">
        <v>9.43</v>
      </c>
      <c r="N84" s="48">
        <f>'Cash Flow - FY'!E76</f>
        <v>9.43</v>
      </c>
      <c r="O84" s="24">
        <v>0</v>
      </c>
      <c r="P84" s="23">
        <v>0</v>
      </c>
      <c r="Q84" s="23">
        <v>0</v>
      </c>
      <c r="R84" s="48" t="str">
        <f>'Cash Flow - FY'!F76</f>
        <v>n.a.</v>
      </c>
      <c r="S84" s="24" t="s">
        <v>164</v>
      </c>
      <c r="T84" s="23" t="s">
        <v>164</v>
      </c>
      <c r="U84" s="23" t="s">
        <v>164</v>
      </c>
      <c r="V84" s="48" t="str">
        <f>'Cash Flow - FY'!G76</f>
        <v>n.a.</v>
      </c>
      <c r="W84" s="24" t="s">
        <v>164</v>
      </c>
      <c r="X84" s="24" t="s">
        <v>164</v>
      </c>
      <c r="Y84" s="23" t="s">
        <v>164</v>
      </c>
      <c r="Z84" s="48" t="str">
        <f>'Cash Flow - FY'!H76</f>
        <v>n.a.</v>
      </c>
      <c r="AA84" s="24" t="s">
        <v>164</v>
      </c>
      <c r="AB84" s="24" t="s">
        <v>164</v>
      </c>
      <c r="AC84" s="24" t="s">
        <v>164</v>
      </c>
      <c r="AD84" s="48" t="str">
        <f>+'Cash Flow - FY'!I76</f>
        <v>n.a.</v>
      </c>
      <c r="AE84" s="24" t="s">
        <v>164</v>
      </c>
      <c r="AF84" s="24" t="s">
        <v>164</v>
      </c>
      <c r="AG84" s="24" t="s">
        <v>164</v>
      </c>
      <c r="AH84" s="48" t="str">
        <f>'Cash Flow - FY'!J76</f>
        <v>n.a.</v>
      </c>
      <c r="AI84" s="24" t="s">
        <v>164</v>
      </c>
      <c r="AJ84" s="24" t="s">
        <v>164</v>
      </c>
      <c r="AK84" s="24" t="s">
        <v>164</v>
      </c>
      <c r="AL84" s="33" t="str">
        <f>'Cash Flow - FY'!K76</f>
        <v>n.a.</v>
      </c>
      <c r="AM84" s="130"/>
    </row>
    <row r="85" spans="1:40" ht="12.5" hidden="1" outlineLevel="2">
      <c r="A85" s="87" t="s">
        <v>171</v>
      </c>
      <c r="B85" s="92"/>
      <c r="C85" s="24">
        <v>0</v>
      </c>
      <c r="D85" s="24">
        <v>4.8000000000000001E-2</v>
      </c>
      <c r="E85" s="24">
        <v>0.13700000000000001</v>
      </c>
      <c r="F85" s="48">
        <f>'Cash Flow - FY'!C77</f>
        <v>9.8339999999999996</v>
      </c>
      <c r="G85" s="24">
        <v>2.2240000000000002</v>
      </c>
      <c r="H85" s="24">
        <f>0.596+2.474</f>
        <v>3.0700000000000003</v>
      </c>
      <c r="I85" s="24">
        <f>2.474+1.672</f>
        <v>4.1459999999999999</v>
      </c>
      <c r="J85" s="48">
        <f>'Cash Flow - FY'!D77</f>
        <v>4.1760000000000002</v>
      </c>
      <c r="K85" s="24">
        <v>0</v>
      </c>
      <c r="L85" s="23">
        <v>1.724</v>
      </c>
      <c r="M85" s="23">
        <v>4.556</v>
      </c>
      <c r="N85" s="48">
        <f>'Cash Flow - FY'!E77</f>
        <v>5.5259999999999998</v>
      </c>
      <c r="O85" s="24">
        <v>0</v>
      </c>
      <c r="P85" s="23">
        <v>6.5000000000000002E-2</v>
      </c>
      <c r="Q85" s="23">
        <v>6.5000000000000002E-2</v>
      </c>
      <c r="R85" s="48" t="str">
        <f>'Cash Flow - FY'!F77</f>
        <v>n.a.</v>
      </c>
      <c r="S85" s="24" t="s">
        <v>164</v>
      </c>
      <c r="T85" s="23" t="s">
        <v>164</v>
      </c>
      <c r="U85" s="23" t="s">
        <v>164</v>
      </c>
      <c r="V85" s="48" t="str">
        <f>'Cash Flow - FY'!G77</f>
        <v>n.a.</v>
      </c>
      <c r="W85" s="24" t="s">
        <v>164</v>
      </c>
      <c r="X85" s="24" t="s">
        <v>164</v>
      </c>
      <c r="Y85" s="23" t="s">
        <v>164</v>
      </c>
      <c r="Z85" s="48" t="str">
        <f>'Cash Flow - FY'!H77</f>
        <v>n.a.</v>
      </c>
      <c r="AA85" s="24" t="s">
        <v>164</v>
      </c>
      <c r="AB85" s="24" t="s">
        <v>164</v>
      </c>
      <c r="AC85" s="24" t="s">
        <v>164</v>
      </c>
      <c r="AD85" s="48" t="str">
        <f>+'Cash Flow - FY'!I77</f>
        <v>n.a.</v>
      </c>
      <c r="AE85" s="24" t="s">
        <v>164</v>
      </c>
      <c r="AF85" s="24" t="s">
        <v>164</v>
      </c>
      <c r="AG85" s="24" t="s">
        <v>164</v>
      </c>
      <c r="AH85" s="48" t="str">
        <f>'Cash Flow - FY'!J77</f>
        <v>n.a.</v>
      </c>
      <c r="AI85" s="24">
        <v>0.23599999999999999</v>
      </c>
      <c r="AJ85" s="24" t="s">
        <v>164</v>
      </c>
      <c r="AK85" s="24" t="s">
        <v>164</v>
      </c>
      <c r="AL85" s="33" t="str">
        <f>'Cash Flow - FY'!K77</f>
        <v>n.a.</v>
      </c>
      <c r="AM85" s="130"/>
    </row>
    <row r="86" spans="1:40" ht="12.5" hidden="1" outlineLevel="1">
      <c r="A86" s="87" t="s">
        <v>285</v>
      </c>
      <c r="B86" s="92"/>
      <c r="C86" s="24">
        <v>0</v>
      </c>
      <c r="D86" s="24">
        <v>0</v>
      </c>
      <c r="E86" s="24">
        <v>0</v>
      </c>
      <c r="F86" s="48">
        <f>'Cash Flow - FY'!C78</f>
        <v>0</v>
      </c>
      <c r="G86" s="24">
        <v>0</v>
      </c>
      <c r="H86" s="24">
        <v>0</v>
      </c>
      <c r="I86" s="24">
        <v>0</v>
      </c>
      <c r="J86" s="48">
        <f>'Cash Flow - FY'!D78</f>
        <v>0</v>
      </c>
      <c r="K86" s="24">
        <v>0</v>
      </c>
      <c r="L86" s="23">
        <v>0</v>
      </c>
      <c r="M86" s="23">
        <v>0</v>
      </c>
      <c r="N86" s="48">
        <f>'Cash Flow - FY'!E78</f>
        <v>-13.42</v>
      </c>
      <c r="O86" s="24">
        <v>0.32800000000000001</v>
      </c>
      <c r="P86" s="23">
        <v>-12.292</v>
      </c>
      <c r="Q86" s="23">
        <v>-37.853000000000002</v>
      </c>
      <c r="R86" s="48">
        <f>'Cash Flow - FY'!F78</f>
        <v>-64.093000000000004</v>
      </c>
      <c r="S86" s="24">
        <v>5.7720000000000002</v>
      </c>
      <c r="T86" s="23">
        <v>-0.56599999999999995</v>
      </c>
      <c r="U86" s="23">
        <v>15.173</v>
      </c>
      <c r="V86" s="48">
        <f>'Cash Flow - FY'!G78</f>
        <v>15.272</v>
      </c>
      <c r="W86" s="24">
        <v>-0.90300000000000002</v>
      </c>
      <c r="X86" s="23">
        <v>-8.5510000000000002</v>
      </c>
      <c r="Y86" s="23">
        <v>-15.071999999999999</v>
      </c>
      <c r="Z86" s="48">
        <f>'Cash Flow - FY'!H78</f>
        <v>-0.15016399999999999</v>
      </c>
      <c r="AA86" s="24">
        <v>-0.871</v>
      </c>
      <c r="AB86" s="23">
        <v>-1.425</v>
      </c>
      <c r="AC86" s="23">
        <v>-0.338536</v>
      </c>
      <c r="AD86" s="33">
        <f>+'Cash Flow - FY'!I78</f>
        <v>-0.29937200000000003</v>
      </c>
      <c r="AE86" s="24">
        <v>-9.8035010000000007</v>
      </c>
      <c r="AF86" s="23">
        <v>-10.312894</v>
      </c>
      <c r="AG86" s="23">
        <v>-0.20649199999999998</v>
      </c>
      <c r="AH86" s="33">
        <f>'Cash Flow - FY'!J78</f>
        <v>-0.51346100000000006</v>
      </c>
      <c r="AI86" s="23">
        <v>-0.17132499999999998</v>
      </c>
      <c r="AJ86" s="23">
        <v>-0.249223</v>
      </c>
      <c r="AK86" s="23">
        <v>-5.2883550000000001</v>
      </c>
      <c r="AL86" s="33">
        <f>'Cash Flow - FY'!K78</f>
        <v>-26.577912999999999</v>
      </c>
      <c r="AM86" s="130"/>
    </row>
    <row r="87" spans="1:40" s="14" customFormat="1" ht="13" collapsed="1">
      <c r="A87" s="79" t="s">
        <v>89</v>
      </c>
      <c r="B87" s="102"/>
      <c r="C87" s="26">
        <f t="shared" ref="C87:AJ87" si="72">IFERROR(C70+C71+C72+C75+C76+C77+C78+C79+C80+C81+C83+C82+C86,"n.a.")</f>
        <v>-97.586999999999989</v>
      </c>
      <c r="D87" s="26">
        <f t="shared" si="72"/>
        <v>-214.16800000000001</v>
      </c>
      <c r="E87" s="26">
        <f t="shared" si="72"/>
        <v>-340.29162798401399</v>
      </c>
      <c r="F87" s="26">
        <f t="shared" si="72"/>
        <v>-398.37799999999999</v>
      </c>
      <c r="G87" s="26">
        <f t="shared" si="72"/>
        <v>55.47</v>
      </c>
      <c r="H87" s="26">
        <f t="shared" si="72"/>
        <v>-90.387000000000029</v>
      </c>
      <c r="I87" s="26">
        <f t="shared" si="72"/>
        <v>-199.03700000000006</v>
      </c>
      <c r="J87" s="26">
        <f t="shared" si="72"/>
        <v>-410.18799999999999</v>
      </c>
      <c r="K87" s="26">
        <f t="shared" si="72"/>
        <v>-94.789999999999978</v>
      </c>
      <c r="L87" s="26">
        <f t="shared" si="72"/>
        <v>-195.26800000000006</v>
      </c>
      <c r="M87" s="26">
        <f t="shared" si="72"/>
        <v>-274.74900000000008</v>
      </c>
      <c r="N87" s="26">
        <f t="shared" si="72"/>
        <v>-375.77500000000003</v>
      </c>
      <c r="O87" s="26">
        <f t="shared" si="72"/>
        <v>-101.99999999999999</v>
      </c>
      <c r="P87" s="26">
        <f t="shared" si="72"/>
        <v>-149.66700000000003</v>
      </c>
      <c r="Q87" s="26">
        <f t="shared" si="72"/>
        <v>-210.78800000000001</v>
      </c>
      <c r="R87" s="26">
        <f t="shared" si="72"/>
        <v>-251.68099999999998</v>
      </c>
      <c r="S87" s="26">
        <f t="shared" si="72"/>
        <v>-71.369999999999976</v>
      </c>
      <c r="T87" s="26">
        <f t="shared" si="72"/>
        <v>-117.538</v>
      </c>
      <c r="U87" s="26">
        <f t="shared" si="72"/>
        <v>-197.72999999999996</v>
      </c>
      <c r="V87" s="26">
        <f t="shared" si="72"/>
        <v>-256.39100000000008</v>
      </c>
      <c r="W87" s="26">
        <f t="shared" si="72"/>
        <v>-90.450999999999993</v>
      </c>
      <c r="X87" s="26">
        <f t="shared" si="72"/>
        <v>-157.77699999999999</v>
      </c>
      <c r="Y87" s="26">
        <f t="shared" si="72"/>
        <v>-229.18100000000001</v>
      </c>
      <c r="Z87" s="26">
        <f t="shared" si="72"/>
        <v>-326.61874431092053</v>
      </c>
      <c r="AA87" s="26">
        <f t="shared" si="72"/>
        <v>-122.221</v>
      </c>
      <c r="AB87" s="26">
        <f t="shared" si="72"/>
        <v>-198.72800000000004</v>
      </c>
      <c r="AC87" s="26">
        <f t="shared" si="72"/>
        <v>-274.10508678970473</v>
      </c>
      <c r="AD87" s="26">
        <f t="shared" si="72"/>
        <v>-392.86026854037624</v>
      </c>
      <c r="AE87" s="26">
        <f t="shared" si="72"/>
        <v>-145.5895618498391</v>
      </c>
      <c r="AF87" s="26">
        <f t="shared" si="72"/>
        <v>-247.31258522315628</v>
      </c>
      <c r="AG87" s="26">
        <f t="shared" si="72"/>
        <v>-322.12599706847874</v>
      </c>
      <c r="AH87" s="26">
        <f t="shared" si="72"/>
        <v>-421.25627800000001</v>
      </c>
      <c r="AI87" s="26">
        <f t="shared" si="72"/>
        <v>-136.2082923435207</v>
      </c>
      <c r="AJ87" s="26">
        <f t="shared" si="72"/>
        <v>-207.87283523980338</v>
      </c>
      <c r="AK87" s="26">
        <f>IFERROR(AK70+AK71+AK72+AK75+AK76+AK77+AK78+AK79+AK80+AK81+AK83+AK82+AK86,"n.a.")</f>
        <v>-295.23516122703688</v>
      </c>
      <c r="AL87" s="26">
        <f>IFERROR(AL70+AL71+AL72+AL75+AL76+AL77+AL78+AL79+AL80+AL81+AL83+AL82+AL86,"n.a.")</f>
        <v>-360.28878484276373</v>
      </c>
      <c r="AM87" s="130"/>
      <c r="AN87" s="130"/>
    </row>
    <row r="88" spans="1:40" ht="12.5">
      <c r="A88" s="83"/>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130"/>
    </row>
    <row r="89" spans="1:40" ht="12.5" hidden="1" outlineLevel="1">
      <c r="A89" s="90" t="s">
        <v>258</v>
      </c>
      <c r="B89" s="91"/>
      <c r="C89" s="23" t="s">
        <v>164</v>
      </c>
      <c r="D89" s="23" t="s">
        <v>164</v>
      </c>
      <c r="E89" s="23" t="s">
        <v>164</v>
      </c>
      <c r="F89" s="33" t="str">
        <f>'Cash Flow - FY'!C81</f>
        <v>n.a.</v>
      </c>
      <c r="G89" s="23" t="s">
        <v>164</v>
      </c>
      <c r="H89" s="23" t="s">
        <v>164</v>
      </c>
      <c r="I89" s="23" t="s">
        <v>164</v>
      </c>
      <c r="J89" s="33" t="str">
        <f>'Cash Flow - FY'!D81</f>
        <v>n.a.</v>
      </c>
      <c r="K89" s="23" t="s">
        <v>164</v>
      </c>
      <c r="L89" s="23" t="s">
        <v>164</v>
      </c>
      <c r="M89" s="23" t="s">
        <v>164</v>
      </c>
      <c r="N89" s="33">
        <f>'Cash Flow - FY'!E81</f>
        <v>1706.4570000000001</v>
      </c>
      <c r="O89" s="23">
        <v>697.96500000000003</v>
      </c>
      <c r="P89" s="23">
        <v>1832.0830000000001</v>
      </c>
      <c r="Q89" s="23">
        <v>2106.4580000000001</v>
      </c>
      <c r="R89" s="33">
        <f>'Cash Flow - FY'!F81</f>
        <v>2577.1819999999998</v>
      </c>
      <c r="S89" s="23">
        <v>390.649</v>
      </c>
      <c r="T89" s="23">
        <v>396.91899999999998</v>
      </c>
      <c r="U89" s="23">
        <v>376.51900000000001</v>
      </c>
      <c r="V89" s="33">
        <f>'Cash Flow - FY'!G81</f>
        <v>886.24199999999996</v>
      </c>
      <c r="W89" s="23">
        <v>806.72400000000005</v>
      </c>
      <c r="X89" s="23">
        <v>902.72500000000002</v>
      </c>
      <c r="Y89" s="23">
        <v>1404.914</v>
      </c>
      <c r="Z89" s="33">
        <f>'Cash Flow - FY'!H81</f>
        <v>1324.0667628483423</v>
      </c>
      <c r="AA89" s="23">
        <v>807.56799999999998</v>
      </c>
      <c r="AB89" s="23">
        <v>792.02800000000002</v>
      </c>
      <c r="AC89" s="23">
        <v>1090.032017579947</v>
      </c>
      <c r="AD89" s="33">
        <f>+'Cash Flow - FY'!I81</f>
        <v>1127.7522609015336</v>
      </c>
      <c r="AE89" s="23">
        <v>704.89421762635038</v>
      </c>
      <c r="AF89" s="23">
        <v>704.72177631365821</v>
      </c>
      <c r="AG89" s="23">
        <v>1324.9530785400329</v>
      </c>
      <c r="AH89" s="33">
        <f>'Cash Flow - FY'!J81</f>
        <v>1366.4766348670712</v>
      </c>
      <c r="AI89" s="23">
        <v>56.586173509630974</v>
      </c>
      <c r="AJ89" s="23">
        <v>55.892361948724997</v>
      </c>
      <c r="AK89" s="23">
        <v>14.369739675576501</v>
      </c>
      <c r="AL89" s="33">
        <f>'Cash Flow - FY'!K81</f>
        <v>138.07856393156001</v>
      </c>
      <c r="AM89" s="83"/>
    </row>
    <row r="90" spans="1:40" ht="12.5" hidden="1" outlineLevel="1">
      <c r="A90" s="90" t="s">
        <v>259</v>
      </c>
      <c r="B90" s="91"/>
      <c r="C90" s="23" t="s">
        <v>164</v>
      </c>
      <c r="D90" s="23" t="s">
        <v>164</v>
      </c>
      <c r="E90" s="23" t="s">
        <v>164</v>
      </c>
      <c r="F90" s="33" t="str">
        <f>'Cash Flow - FY'!C82</f>
        <v>n.a.</v>
      </c>
      <c r="G90" s="23" t="s">
        <v>164</v>
      </c>
      <c r="H90" s="23" t="s">
        <v>164</v>
      </c>
      <c r="I90" s="23" t="s">
        <v>164</v>
      </c>
      <c r="J90" s="33" t="str">
        <f>'Cash Flow - FY'!D82</f>
        <v>n.a.</v>
      </c>
      <c r="K90" s="23" t="s">
        <v>164</v>
      </c>
      <c r="L90" s="23" t="s">
        <v>164</v>
      </c>
      <c r="M90" s="23" t="s">
        <v>164</v>
      </c>
      <c r="N90" s="33">
        <f>'Cash Flow - FY'!E82</f>
        <v>-1623.3409999999999</v>
      </c>
      <c r="O90" s="23">
        <v>-480.73899999999998</v>
      </c>
      <c r="P90" s="23">
        <v>-943.11099999999999</v>
      </c>
      <c r="Q90" s="23">
        <v>-1465.325</v>
      </c>
      <c r="R90" s="33">
        <f>'Cash Flow - FY'!F82</f>
        <v>-1806.69</v>
      </c>
      <c r="S90" s="23">
        <v>-1323.9369999999999</v>
      </c>
      <c r="T90" s="23">
        <v>-1398.617</v>
      </c>
      <c r="U90" s="23">
        <v>-1451.672</v>
      </c>
      <c r="V90" s="33">
        <f>'Cash Flow - FY'!G82</f>
        <v>-1649.4480000000001</v>
      </c>
      <c r="W90" s="23">
        <v>-1257.24</v>
      </c>
      <c r="X90" s="23">
        <v>-1361.5509999999999</v>
      </c>
      <c r="Y90" s="23">
        <v>-1426.6769999999999</v>
      </c>
      <c r="Z90" s="33">
        <f>'Cash Flow - FY'!H82</f>
        <v>-2113.8297285326016</v>
      </c>
      <c r="AA90" s="23">
        <v>-444.95499999999998</v>
      </c>
      <c r="AB90" s="23">
        <v>-509.05500000000001</v>
      </c>
      <c r="AC90" s="23">
        <v>-1300.9711627690979</v>
      </c>
      <c r="AD90" s="33">
        <f>+'Cash Flow - FY'!I82</f>
        <v>-1634.19543134696</v>
      </c>
      <c r="AE90" s="23">
        <v>-500.33220891546506</v>
      </c>
      <c r="AF90" s="23">
        <v>-505.71169023054813</v>
      </c>
      <c r="AG90" s="23">
        <v>-1287.0227758988467</v>
      </c>
      <c r="AH90" s="33">
        <f>'Cash Flow - FY'!J82</f>
        <v>-1497.8028702927702</v>
      </c>
      <c r="AI90" s="23">
        <v>-46.128721795285003</v>
      </c>
      <c r="AJ90" s="23">
        <v>-79.402534217380193</v>
      </c>
      <c r="AK90" s="23">
        <v>-105.918093045292</v>
      </c>
      <c r="AL90" s="33">
        <f>'Cash Flow - FY'!K82</f>
        <v>-528.77322609432997</v>
      </c>
      <c r="AM90" s="83"/>
    </row>
    <row r="91" spans="1:40" ht="12.5" hidden="1" outlineLevel="2">
      <c r="A91" s="90" t="s">
        <v>83</v>
      </c>
      <c r="B91" s="91"/>
      <c r="C91" s="23">
        <v>0</v>
      </c>
      <c r="D91" s="23">
        <v>1189.375</v>
      </c>
      <c r="E91" s="23">
        <v>1189.375</v>
      </c>
      <c r="F91" s="33">
        <f>'Cash Flow - FY'!C83</f>
        <v>1189.375</v>
      </c>
      <c r="G91" s="23">
        <v>0</v>
      </c>
      <c r="H91" s="23">
        <v>0</v>
      </c>
      <c r="I91" s="23">
        <v>0</v>
      </c>
      <c r="J91" s="33">
        <f>'Cash Flow - FY'!D83</f>
        <v>0</v>
      </c>
      <c r="K91" s="23">
        <v>0</v>
      </c>
      <c r="L91" s="23">
        <v>0</v>
      </c>
      <c r="M91" s="23">
        <v>0</v>
      </c>
      <c r="N91" s="33">
        <f>'Cash Flow - FY'!E83</f>
        <v>0</v>
      </c>
      <c r="O91" s="23">
        <v>0</v>
      </c>
      <c r="P91" s="23">
        <v>0</v>
      </c>
      <c r="Q91" s="23">
        <v>0</v>
      </c>
      <c r="R91" s="33">
        <f>'Cash Flow - FY'!F83</f>
        <v>0</v>
      </c>
      <c r="S91" s="23">
        <v>0</v>
      </c>
      <c r="T91" s="23">
        <v>0</v>
      </c>
      <c r="U91" s="23">
        <v>0</v>
      </c>
      <c r="V91" s="33">
        <f>'Cash Flow - FY'!G83</f>
        <v>0</v>
      </c>
      <c r="W91" s="23">
        <v>0</v>
      </c>
      <c r="X91" s="23">
        <v>0</v>
      </c>
      <c r="Y91" s="23">
        <v>0</v>
      </c>
      <c r="Z91" s="33">
        <f>'Cash Flow - FY'!H83</f>
        <v>0</v>
      </c>
      <c r="AA91" s="23">
        <v>0</v>
      </c>
      <c r="AB91" s="23">
        <v>0</v>
      </c>
      <c r="AC91" s="23">
        <v>0</v>
      </c>
      <c r="AD91" s="33">
        <f>+'Cash Flow - FY'!I83</f>
        <v>0</v>
      </c>
      <c r="AE91" s="23">
        <v>0</v>
      </c>
      <c r="AF91" s="23">
        <v>0</v>
      </c>
      <c r="AG91" s="23">
        <v>0</v>
      </c>
      <c r="AH91" s="33">
        <f>'Cash Flow - FY'!J83</f>
        <v>0</v>
      </c>
      <c r="AI91" s="23">
        <v>0</v>
      </c>
      <c r="AJ91" s="23">
        <v>0</v>
      </c>
      <c r="AK91" s="23">
        <v>0</v>
      </c>
      <c r="AL91" s="33">
        <f>'Cash Flow - FY'!K83</f>
        <v>0</v>
      </c>
      <c r="AM91" s="83"/>
    </row>
    <row r="92" spans="1:40" ht="12.5" hidden="1" outlineLevel="2">
      <c r="A92" s="87" t="s">
        <v>84</v>
      </c>
      <c r="B92" s="92"/>
      <c r="C92" s="24">
        <v>0</v>
      </c>
      <c r="D92" s="24">
        <v>251</v>
      </c>
      <c r="E92" s="24">
        <v>0</v>
      </c>
      <c r="F92" s="33">
        <v>0</v>
      </c>
      <c r="G92" s="24">
        <v>0</v>
      </c>
      <c r="H92" s="24">
        <v>0</v>
      </c>
      <c r="I92" s="24">
        <v>0</v>
      </c>
      <c r="J92" s="48">
        <v>0</v>
      </c>
      <c r="K92" s="24">
        <v>0</v>
      </c>
      <c r="L92" s="23">
        <v>0</v>
      </c>
      <c r="M92" s="23">
        <v>0</v>
      </c>
      <c r="N92" s="48">
        <v>0</v>
      </c>
      <c r="O92" s="24">
        <v>0</v>
      </c>
      <c r="P92" s="23">
        <v>0</v>
      </c>
      <c r="Q92" s="23">
        <v>0</v>
      </c>
      <c r="R92" s="48">
        <v>0</v>
      </c>
      <c r="S92" s="24">
        <v>0</v>
      </c>
      <c r="T92" s="23">
        <v>0</v>
      </c>
      <c r="U92" s="23">
        <v>0</v>
      </c>
      <c r="V92" s="48">
        <v>0</v>
      </c>
      <c r="W92" s="24">
        <v>0</v>
      </c>
      <c r="X92" s="24">
        <v>0</v>
      </c>
      <c r="Y92" s="23">
        <v>0</v>
      </c>
      <c r="Z92" s="48">
        <v>0</v>
      </c>
      <c r="AA92" s="24">
        <v>0</v>
      </c>
      <c r="AB92" s="24">
        <v>0</v>
      </c>
      <c r="AC92" s="24">
        <v>0</v>
      </c>
      <c r="AD92" s="48">
        <v>0</v>
      </c>
      <c r="AE92" s="24">
        <v>0</v>
      </c>
      <c r="AF92" s="24">
        <v>0</v>
      </c>
      <c r="AG92" s="24">
        <v>0</v>
      </c>
      <c r="AH92" s="48">
        <v>0</v>
      </c>
      <c r="AI92" s="24">
        <v>0</v>
      </c>
      <c r="AJ92" s="24">
        <v>0</v>
      </c>
      <c r="AK92" s="24">
        <v>0</v>
      </c>
      <c r="AL92" s="24">
        <v>0</v>
      </c>
      <c r="AM92" s="83"/>
    </row>
    <row r="93" spans="1:40" ht="12.5" hidden="1" outlineLevel="1">
      <c r="A93" s="87" t="s">
        <v>85</v>
      </c>
      <c r="B93" s="92"/>
      <c r="C93" s="24">
        <v>-459.51799999999997</v>
      </c>
      <c r="D93" s="24">
        <v>-1686.787</v>
      </c>
      <c r="E93" s="24">
        <v>-1695.2829999999999</v>
      </c>
      <c r="F93" s="48">
        <f>'Cash Flow - FY'!C84</f>
        <v>-2060.3040000000001</v>
      </c>
      <c r="G93" s="24">
        <v>137.62799999999999</v>
      </c>
      <c r="H93" s="24">
        <v>283.18200000000002</v>
      </c>
      <c r="I93" s="24">
        <v>393.36599999999999</v>
      </c>
      <c r="J93" s="48">
        <f>'Cash Flow - FY'!D84</f>
        <v>168.952</v>
      </c>
      <c r="K93" s="24">
        <v>328.166</v>
      </c>
      <c r="L93" s="23">
        <v>175.77600000000001</v>
      </c>
      <c r="M93" s="23">
        <v>253.476</v>
      </c>
      <c r="N93" s="48">
        <f>'Cash Flow - FY'!E84</f>
        <v>0</v>
      </c>
      <c r="O93" s="24">
        <v>0</v>
      </c>
      <c r="P93" s="23">
        <v>0</v>
      </c>
      <c r="Q93" s="23">
        <v>0</v>
      </c>
      <c r="R93" s="48">
        <f>'Cash Flow - FY'!F84</f>
        <v>0</v>
      </c>
      <c r="S93" s="24">
        <v>0</v>
      </c>
      <c r="T93" s="23">
        <v>0</v>
      </c>
      <c r="U93" s="23">
        <v>0</v>
      </c>
      <c r="V93" s="48">
        <f>'Cash Flow - FY'!G84</f>
        <v>0</v>
      </c>
      <c r="W93" s="24">
        <v>0</v>
      </c>
      <c r="X93" s="24">
        <v>0</v>
      </c>
      <c r="Y93" s="23">
        <v>0</v>
      </c>
      <c r="Z93" s="48">
        <f>'Cash Flow - FY'!H84</f>
        <v>0</v>
      </c>
      <c r="AA93" s="24">
        <v>0</v>
      </c>
      <c r="AB93" s="24">
        <v>0</v>
      </c>
      <c r="AC93" s="24">
        <v>0</v>
      </c>
      <c r="AD93" s="48">
        <f>+'Cash Flow - FY'!I84</f>
        <v>0</v>
      </c>
      <c r="AE93" s="24">
        <v>0</v>
      </c>
      <c r="AF93" s="24">
        <v>0</v>
      </c>
      <c r="AG93" s="24">
        <v>0</v>
      </c>
      <c r="AH93" s="48">
        <f>'Cash Flow - FY'!J84</f>
        <v>0</v>
      </c>
      <c r="AI93" s="24">
        <v>0</v>
      </c>
      <c r="AJ93" s="24">
        <v>0</v>
      </c>
      <c r="AK93" s="24">
        <v>0</v>
      </c>
      <c r="AL93" s="33">
        <f>'Cash Flow - FY'!K84</f>
        <v>0</v>
      </c>
      <c r="AM93" s="83"/>
    </row>
    <row r="94" spans="1:40" ht="13" hidden="1" outlineLevel="1">
      <c r="A94" s="87" t="s">
        <v>189</v>
      </c>
      <c r="B94" s="92"/>
      <c r="C94" s="24">
        <v>219.85499999999999</v>
      </c>
      <c r="D94" s="24">
        <v>0.96399999999999997</v>
      </c>
      <c r="E94" s="24">
        <v>223.84399999999999</v>
      </c>
      <c r="F94" s="48">
        <f>'Cash Flow - FY'!C85</f>
        <v>218.03700000000001</v>
      </c>
      <c r="G94" s="24">
        <v>89.460999999999999</v>
      </c>
      <c r="H94" s="24">
        <v>-57.250999999999998</v>
      </c>
      <c r="I94" s="24">
        <v>-86.813999999999993</v>
      </c>
      <c r="J94" s="48">
        <f>'Cash Flow - FY'!D85</f>
        <v>-31.760999999999999</v>
      </c>
      <c r="K94" s="24">
        <v>18.765000000000001</v>
      </c>
      <c r="L94" s="23">
        <v>-4.7140000000000004</v>
      </c>
      <c r="M94" s="23">
        <v>-15.804</v>
      </c>
      <c r="N94" s="48">
        <f>'Cash Flow - FY'!E85</f>
        <v>-41.715000000000003</v>
      </c>
      <c r="O94" s="24">
        <v>-157.62700000000001</v>
      </c>
      <c r="P94" s="23">
        <v>-154.63200000000001</v>
      </c>
      <c r="Q94" s="23">
        <v>-164.56</v>
      </c>
      <c r="R94" s="48">
        <f>'Cash Flow - FY'!F85</f>
        <v>-192.666</v>
      </c>
      <c r="S94" s="24">
        <v>18.271999999999998</v>
      </c>
      <c r="T94" s="23">
        <v>30.658000000000001</v>
      </c>
      <c r="U94" s="23">
        <v>11.683</v>
      </c>
      <c r="V94" s="48">
        <f>'Cash Flow - FY'!G85</f>
        <v>-21.079000000000001</v>
      </c>
      <c r="W94" s="24">
        <v>-4.4420000000000002</v>
      </c>
      <c r="X94" s="23">
        <v>-40.124000000000002</v>
      </c>
      <c r="Y94" s="23">
        <v>-104.98699999999999</v>
      </c>
      <c r="Z94" s="48">
        <f>'Cash Flow - FY'!H85</f>
        <v>-141.76063800000003</v>
      </c>
      <c r="AA94" s="24">
        <v>229.494</v>
      </c>
      <c r="AB94" s="23">
        <v>220.654</v>
      </c>
      <c r="AC94" s="23">
        <v>201.72499400000001</v>
      </c>
      <c r="AD94" s="33">
        <f>+'Cash Flow - FY'!I85</f>
        <v>212.59646600000002</v>
      </c>
      <c r="AE94" s="24">
        <v>93.621122500723502</v>
      </c>
      <c r="AF94" s="23">
        <v>63.665929330194935</v>
      </c>
      <c r="AG94" s="23">
        <v>44.944849888037751</v>
      </c>
      <c r="AH94" s="33">
        <f>'Cash Flow - FY'!J85</f>
        <v>60.127695463689257</v>
      </c>
      <c r="AI94" s="23">
        <v>42.663423257031667</v>
      </c>
      <c r="AJ94" s="23">
        <v>54.204000000000001</v>
      </c>
      <c r="AK94" s="23">
        <v>54.839408636794502</v>
      </c>
      <c r="AL94" s="33">
        <f>'Cash Flow - FY'!K85</f>
        <v>42.702435063692398</v>
      </c>
      <c r="AM94" s="14"/>
      <c r="AN94" s="177"/>
    </row>
    <row r="95" spans="1:40" ht="12.5" hidden="1" outlineLevel="1">
      <c r="A95" s="87" t="s">
        <v>90</v>
      </c>
      <c r="B95" s="92"/>
      <c r="C95" s="24">
        <v>-76.962999999999994</v>
      </c>
      <c r="D95" s="24">
        <v>-181.63900000000001</v>
      </c>
      <c r="E95" s="24">
        <v>-289.94799999999998</v>
      </c>
      <c r="F95" s="48">
        <f>'Cash Flow - FY'!C86</f>
        <v>-280.83199999999999</v>
      </c>
      <c r="G95" s="24">
        <v>-82.724999999999994</v>
      </c>
      <c r="H95" s="24">
        <v>-134.27000000000001</v>
      </c>
      <c r="I95" s="24">
        <v>-148.16300000000001</v>
      </c>
      <c r="J95" s="48">
        <f>'Cash Flow - FY'!D86</f>
        <v>-168.40600000000001</v>
      </c>
      <c r="K95" s="24">
        <v>-59.420999999999999</v>
      </c>
      <c r="L95" s="23">
        <v>-52.6</v>
      </c>
      <c r="M95" s="23">
        <v>-135.709</v>
      </c>
      <c r="N95" s="48">
        <f>'Cash Flow - FY'!E86</f>
        <v>-85.537000000000006</v>
      </c>
      <c r="O95" s="24">
        <v>-40.502000000000002</v>
      </c>
      <c r="P95" s="23">
        <v>-64.239999999999995</v>
      </c>
      <c r="Q95" s="23">
        <v>-82.75</v>
      </c>
      <c r="R95" s="48">
        <f>'Cash Flow - FY'!F86</f>
        <v>-38.503999999999998</v>
      </c>
      <c r="S95" s="24">
        <v>-24.036999999999999</v>
      </c>
      <c r="T95" s="23">
        <v>-49.972999999999999</v>
      </c>
      <c r="U95" s="23">
        <v>-81.302999999999997</v>
      </c>
      <c r="V95" s="48">
        <f>'Cash Flow - FY'!G86</f>
        <v>-115.071</v>
      </c>
      <c r="W95" s="24">
        <v>27.597000000000001</v>
      </c>
      <c r="X95" s="23">
        <v>3.4540000000000002</v>
      </c>
      <c r="Y95" s="23">
        <v>-93.194999999999993</v>
      </c>
      <c r="Z95" s="48">
        <f>'Cash Flow - FY'!H86</f>
        <v>-173.26081536742143</v>
      </c>
      <c r="AA95" s="24">
        <v>-50.331000000000003</v>
      </c>
      <c r="AB95" s="23">
        <v>-135.06399999999999</v>
      </c>
      <c r="AC95" s="23">
        <v>-225.12979253579593</v>
      </c>
      <c r="AD95" s="33">
        <f>+'Cash Flow - FY'!I86</f>
        <v>-342.41022254586164</v>
      </c>
      <c r="AE95" s="24">
        <v>-63.899152895666766</v>
      </c>
      <c r="AF95" s="23">
        <v>-146.75546551905634</v>
      </c>
      <c r="AG95" s="23">
        <v>-185.21100000000001</v>
      </c>
      <c r="AH95" s="33">
        <f>'Cash Flow - FY'!J86</f>
        <v>-206.17330752338049</v>
      </c>
      <c r="AI95" s="23">
        <v>-45.746385989930495</v>
      </c>
      <c r="AJ95" s="23">
        <v>-104.458747589797</v>
      </c>
      <c r="AK95" s="23">
        <v>-120.45864007563399</v>
      </c>
      <c r="AL95" s="33">
        <f>'Cash Flow - FY'!K86</f>
        <v>-151.56762151433</v>
      </c>
      <c r="AM95" s="83"/>
    </row>
    <row r="96" spans="1:40" ht="13" hidden="1" outlineLevel="1">
      <c r="A96" s="87" t="s">
        <v>86</v>
      </c>
      <c r="B96" s="92"/>
      <c r="C96" s="24">
        <v>0</v>
      </c>
      <c r="D96" s="24">
        <v>0</v>
      </c>
      <c r="E96" s="24">
        <v>-12.742000000000001</v>
      </c>
      <c r="F96" s="48">
        <f>'Cash Flow - FY'!C87</f>
        <v>-12.742000000000001</v>
      </c>
      <c r="G96" s="24">
        <v>0</v>
      </c>
      <c r="H96" s="24">
        <v>0</v>
      </c>
      <c r="I96" s="24">
        <v>-8.3659999999999997</v>
      </c>
      <c r="J96" s="48">
        <f>'Cash Flow - FY'!D87</f>
        <v>-8.3659999999999997</v>
      </c>
      <c r="K96" s="24">
        <v>0</v>
      </c>
      <c r="L96" s="23">
        <v>-185.84899999999999</v>
      </c>
      <c r="M96" s="23">
        <v>-185.75</v>
      </c>
      <c r="N96" s="48">
        <f>'Cash Flow - FY'!E87</f>
        <v>-185.768</v>
      </c>
      <c r="O96" s="24">
        <v>0</v>
      </c>
      <c r="P96" s="23">
        <v>0</v>
      </c>
      <c r="Q96" s="23">
        <v>0</v>
      </c>
      <c r="R96" s="48">
        <f>'Cash Flow - FY'!F87</f>
        <v>0</v>
      </c>
      <c r="S96" s="24">
        <v>0</v>
      </c>
      <c r="T96" s="23">
        <v>-79.337000000000003</v>
      </c>
      <c r="U96" s="23">
        <v>-79.786000000000001</v>
      </c>
      <c r="V96" s="48">
        <f>'Cash Flow - FY'!G87</f>
        <v>-79.935000000000002</v>
      </c>
      <c r="W96" s="24">
        <v>0</v>
      </c>
      <c r="X96" s="23">
        <v>-184.303</v>
      </c>
      <c r="Y96" s="23">
        <v>-184.78399999999999</v>
      </c>
      <c r="Z96" s="48">
        <f>'Cash Flow - FY'!H87</f>
        <v>-185.39500000000001</v>
      </c>
      <c r="AA96" s="24">
        <v>0</v>
      </c>
      <c r="AB96" s="23">
        <v>-3.8540000000000001</v>
      </c>
      <c r="AC96" s="23">
        <v>-221.4</v>
      </c>
      <c r="AD96" s="33">
        <f>+'Cash Flow - FY'!I87</f>
        <v>-222.87100000000001</v>
      </c>
      <c r="AE96" s="24">
        <v>-1.3</v>
      </c>
      <c r="AF96" s="23">
        <v>-203.58699999999999</v>
      </c>
      <c r="AG96" s="23">
        <v>-204.215</v>
      </c>
      <c r="AH96" s="33">
        <f>'Cash Flow - FY'!J87</f>
        <v>-204.4</v>
      </c>
      <c r="AI96" s="23">
        <v>0</v>
      </c>
      <c r="AJ96" s="23">
        <v>-249.56100000000001</v>
      </c>
      <c r="AK96" s="23">
        <v>-256.16300000000001</v>
      </c>
      <c r="AL96" s="33">
        <f>'Cash Flow - FY'!K87</f>
        <v>-259.096</v>
      </c>
      <c r="AM96" s="14"/>
      <c r="AN96" s="177"/>
    </row>
    <row r="97" spans="1:40" ht="13" hidden="1" outlineLevel="1">
      <c r="A97" s="87" t="s">
        <v>274</v>
      </c>
      <c r="B97" s="92"/>
      <c r="C97" s="24">
        <v>0</v>
      </c>
      <c r="D97" s="24">
        <v>0</v>
      </c>
      <c r="E97" s="24">
        <v>0</v>
      </c>
      <c r="F97" s="48">
        <f>'Cash Flow - FY'!C88</f>
        <v>0</v>
      </c>
      <c r="G97" s="24">
        <v>0</v>
      </c>
      <c r="H97" s="24">
        <v>0</v>
      </c>
      <c r="I97" s="24">
        <v>0</v>
      </c>
      <c r="J97" s="48">
        <f>'Cash Flow - FY'!D88</f>
        <v>0</v>
      </c>
      <c r="K97" s="24">
        <v>-22.672999999999998</v>
      </c>
      <c r="L97" s="23">
        <v>-53.308</v>
      </c>
      <c r="M97" s="23">
        <v>-76.951999999999998</v>
      </c>
      <c r="N97" s="48">
        <f>'Cash Flow - FY'!E88</f>
        <v>-101.157</v>
      </c>
      <c r="O97" s="24">
        <v>-25.266999999999999</v>
      </c>
      <c r="P97" s="23">
        <v>-43.206000000000003</v>
      </c>
      <c r="Q97" s="23">
        <v>-75.224000000000004</v>
      </c>
      <c r="R97" s="48">
        <f>'Cash Flow - FY'!F88</f>
        <v>-99.924000000000007</v>
      </c>
      <c r="S97" s="24">
        <v>-24.93</v>
      </c>
      <c r="T97" s="23">
        <v>-50.642000000000003</v>
      </c>
      <c r="U97" s="23">
        <v>-80.176000000000002</v>
      </c>
      <c r="V97" s="48">
        <f>'Cash Flow - FY'!G88</f>
        <v>-105.355</v>
      </c>
      <c r="W97" s="24">
        <v>-27.045000000000002</v>
      </c>
      <c r="X97" s="23">
        <v>-58.99</v>
      </c>
      <c r="Y97" s="23">
        <v>-88.037000000000006</v>
      </c>
      <c r="Z97" s="48">
        <f>'Cash Flow - FY'!H88</f>
        <v>-114.5125238039858</v>
      </c>
      <c r="AA97" s="24">
        <v>-30.148</v>
      </c>
      <c r="AB97" s="23">
        <v>-60.503999999999998</v>
      </c>
      <c r="AC97" s="23">
        <v>-90.500162268633503</v>
      </c>
      <c r="AD97" s="33">
        <f>+'Cash Flow - FY'!I88</f>
        <v>-120.45524254560056</v>
      </c>
      <c r="AE97" s="24">
        <v>-32.332814749093238</v>
      </c>
      <c r="AF97" s="23">
        <v>-62.180750803993199</v>
      </c>
      <c r="AG97" s="23">
        <v>-97.054097693609322</v>
      </c>
      <c r="AH97" s="33">
        <f>'Cash Flow - FY'!J88</f>
        <v>-128.92923479689657</v>
      </c>
      <c r="AI97" s="23">
        <v>-35.688157586803378</v>
      </c>
      <c r="AJ97" s="23">
        <v>-59.813000000000002</v>
      </c>
      <c r="AK97" s="23">
        <v>-97.104075158359095</v>
      </c>
      <c r="AL97" s="33">
        <f>'Cash Flow - FY'!K88</f>
        <v>-129.44596459579799</v>
      </c>
      <c r="AM97" s="14"/>
      <c r="AN97" s="177"/>
    </row>
    <row r="98" spans="1:40" ht="12.5" hidden="1" outlineLevel="1">
      <c r="A98" s="87" t="s">
        <v>230</v>
      </c>
      <c r="B98" s="92"/>
      <c r="C98" s="24">
        <v>0</v>
      </c>
      <c r="D98" s="24">
        <v>0</v>
      </c>
      <c r="E98" s="24">
        <v>0</v>
      </c>
      <c r="F98" s="48">
        <f>'Cash Flow - FY'!C89</f>
        <v>0</v>
      </c>
      <c r="G98" s="24">
        <v>0</v>
      </c>
      <c r="H98" s="24">
        <v>4.5</v>
      </c>
      <c r="I98" s="24">
        <v>4.5</v>
      </c>
      <c r="J98" s="48">
        <f>'Cash Flow - FY'!D89</f>
        <v>4.5</v>
      </c>
      <c r="K98" s="24">
        <v>0</v>
      </c>
      <c r="L98" s="23">
        <v>0</v>
      </c>
      <c r="M98" s="23">
        <v>0</v>
      </c>
      <c r="N98" s="48">
        <f>'Cash Flow - FY'!E89</f>
        <v>0</v>
      </c>
      <c r="O98" s="24">
        <v>0</v>
      </c>
      <c r="P98" s="23">
        <v>0</v>
      </c>
      <c r="Q98" s="23">
        <v>0</v>
      </c>
      <c r="R98" s="48">
        <f>'Cash Flow - FY'!F89</f>
        <v>0</v>
      </c>
      <c r="S98" s="24">
        <v>0</v>
      </c>
      <c r="T98" s="23">
        <v>0</v>
      </c>
      <c r="U98" s="23">
        <v>0</v>
      </c>
      <c r="V98" s="48">
        <f>'Cash Flow - FY'!G89</f>
        <v>0</v>
      </c>
      <c r="W98" s="24">
        <v>0</v>
      </c>
      <c r="X98" s="24">
        <v>0</v>
      </c>
      <c r="Y98" s="23">
        <v>0</v>
      </c>
      <c r="Z98" s="48">
        <f>'Cash Flow - FY'!H89</f>
        <v>0</v>
      </c>
      <c r="AA98" s="24">
        <v>0</v>
      </c>
      <c r="AB98" s="24">
        <v>0</v>
      </c>
      <c r="AC98" s="24">
        <v>0</v>
      </c>
      <c r="AD98" s="48">
        <f>+'Cash Flow - FY'!I89</f>
        <v>0</v>
      </c>
      <c r="AE98" s="24">
        <v>0</v>
      </c>
      <c r="AF98" s="24">
        <v>0</v>
      </c>
      <c r="AG98" s="24">
        <v>0</v>
      </c>
      <c r="AH98" s="48">
        <f>'Cash Flow - FY'!J89</f>
        <v>0</v>
      </c>
      <c r="AI98" s="24">
        <v>0</v>
      </c>
      <c r="AJ98" s="24">
        <v>0</v>
      </c>
      <c r="AK98" s="24">
        <v>0</v>
      </c>
      <c r="AL98" s="33">
        <f>'Cash Flow - FY'!K89</f>
        <v>0</v>
      </c>
      <c r="AM98" s="83"/>
    </row>
    <row r="99" spans="1:40" s="14" customFormat="1" ht="13" collapsed="1">
      <c r="A99" s="79" t="s">
        <v>91</v>
      </c>
      <c r="B99" s="102"/>
      <c r="C99" s="26">
        <f t="shared" ref="C99:M99" si="73">IFERROR(C91+C92+C93+C94+C95+C96+C97+C98,"n.a.")</f>
        <v>-316.62599999999998</v>
      </c>
      <c r="D99" s="26">
        <f t="shared" si="73"/>
        <v>-427.08700000000005</v>
      </c>
      <c r="E99" s="26">
        <f t="shared" si="73"/>
        <v>-584.75399999999991</v>
      </c>
      <c r="F99" s="26">
        <f t="shared" si="73"/>
        <v>-946.46600000000001</v>
      </c>
      <c r="G99" s="26">
        <f t="shared" si="73"/>
        <v>144.364</v>
      </c>
      <c r="H99" s="26">
        <f t="shared" si="73"/>
        <v>96.161000000000001</v>
      </c>
      <c r="I99" s="26">
        <f t="shared" si="73"/>
        <v>154.52300000000002</v>
      </c>
      <c r="J99" s="26">
        <f t="shared" si="73"/>
        <v>-35.081000000000003</v>
      </c>
      <c r="K99" s="26">
        <f t="shared" si="73"/>
        <v>264.83699999999999</v>
      </c>
      <c r="L99" s="26">
        <f t="shared" si="73"/>
        <v>-120.69499999999996</v>
      </c>
      <c r="M99" s="26">
        <f t="shared" si="73"/>
        <v>-160.739</v>
      </c>
      <c r="N99" s="26">
        <f t="shared" ref="N99:AK99" si="74">IFERROR(N89+N90+N91+N92+N93+N94+N95+N96+N97+N98,"n.a.")</f>
        <v>-331.06099999999981</v>
      </c>
      <c r="O99" s="26">
        <f t="shared" si="74"/>
        <v>-6.1699999999999555</v>
      </c>
      <c r="P99" s="26">
        <f t="shared" si="74"/>
        <v>626.89400000000012</v>
      </c>
      <c r="Q99" s="26">
        <f t="shared" si="74"/>
        <v>318.59900000000005</v>
      </c>
      <c r="R99" s="26">
        <f t="shared" si="74"/>
        <v>439.3979999999998</v>
      </c>
      <c r="S99" s="26">
        <f t="shared" si="74"/>
        <v>-963.98299999999983</v>
      </c>
      <c r="T99" s="26">
        <f t="shared" si="74"/>
        <v>-1150.992</v>
      </c>
      <c r="U99" s="26">
        <f t="shared" si="74"/>
        <v>-1304.7350000000001</v>
      </c>
      <c r="V99" s="26">
        <f t="shared" si="74"/>
        <v>-1084.6460000000002</v>
      </c>
      <c r="W99" s="26">
        <f t="shared" si="74"/>
        <v>-454.40600000000001</v>
      </c>
      <c r="X99" s="26">
        <f t="shared" si="74"/>
        <v>-738.78899999999999</v>
      </c>
      <c r="Y99" s="26">
        <f t="shared" si="74"/>
        <v>-492.76599999999996</v>
      </c>
      <c r="Z99" s="26">
        <f t="shared" si="74"/>
        <v>-1404.6919428556666</v>
      </c>
      <c r="AA99" s="26">
        <f t="shared" si="74"/>
        <v>511.62799999999993</v>
      </c>
      <c r="AB99" s="26">
        <f t="shared" si="74"/>
        <v>304.20499999999998</v>
      </c>
      <c r="AC99" s="26">
        <f t="shared" si="74"/>
        <v>-546.24410599358032</v>
      </c>
      <c r="AD99" s="26">
        <f t="shared" si="74"/>
        <v>-979.58316953688859</v>
      </c>
      <c r="AE99" s="26">
        <f t="shared" si="74"/>
        <v>200.65116356684882</v>
      </c>
      <c r="AF99" s="26">
        <f t="shared" si="74"/>
        <v>-149.84720090974449</v>
      </c>
      <c r="AG99" s="26">
        <f t="shared" si="74"/>
        <v>-403.60494516438536</v>
      </c>
      <c r="AH99" s="26">
        <f t="shared" si="74"/>
        <v>-610.70108228228685</v>
      </c>
      <c r="AI99" s="26">
        <f t="shared" si="74"/>
        <v>-28.313668605356234</v>
      </c>
      <c r="AJ99" s="26">
        <f t="shared" si="74"/>
        <v>-383.1389198584522</v>
      </c>
      <c r="AK99" s="26">
        <f t="shared" si="74"/>
        <v>-510.43465996691407</v>
      </c>
      <c r="AL99" s="26">
        <f t="shared" ref="AL99" si="75">IFERROR(AL89+AL90+AL91+AL92+AL93+AL94+AL95+AL96+AL97+AL98,"n.a.")</f>
        <v>-888.1018132092056</v>
      </c>
      <c r="AN99" s="177"/>
    </row>
    <row r="100" spans="1:40" ht="12.5">
      <c r="A100" s="83"/>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83"/>
    </row>
    <row r="101" spans="1:40" s="14" customFormat="1" ht="13" hidden="1" outlineLevel="2">
      <c r="A101" s="84" t="s">
        <v>92</v>
      </c>
      <c r="B101" s="91"/>
      <c r="C101" s="23">
        <v>-145.69</v>
      </c>
      <c r="D101" s="23">
        <v>0</v>
      </c>
      <c r="E101" s="23">
        <v>-74.596999999999994</v>
      </c>
      <c r="F101" s="33">
        <f>'Cash Flow - FY'!C92</f>
        <v>-135.59700000000001</v>
      </c>
      <c r="G101" s="23">
        <v>-22.675000000000001</v>
      </c>
      <c r="H101" s="23">
        <v>-5.3419999999999996</v>
      </c>
      <c r="I101" s="23">
        <v>15.108000000000001</v>
      </c>
      <c r="J101" s="33">
        <f>'Cash Flow - FY'!D92</f>
        <v>37.100999999999999</v>
      </c>
      <c r="K101" s="23">
        <v>0</v>
      </c>
      <c r="L101" s="23">
        <v>0</v>
      </c>
      <c r="M101" s="23">
        <v>0</v>
      </c>
      <c r="N101" s="33">
        <f>'Cash Flow - FY'!E92</f>
        <v>0</v>
      </c>
      <c r="O101" s="23">
        <v>0</v>
      </c>
      <c r="P101" s="23">
        <v>0</v>
      </c>
      <c r="Q101" s="23">
        <v>0</v>
      </c>
      <c r="R101" s="33">
        <f>'Cash Flow - FY'!F92</f>
        <v>0</v>
      </c>
      <c r="S101" s="23">
        <v>0</v>
      </c>
      <c r="T101" s="23">
        <v>0</v>
      </c>
      <c r="U101" s="23">
        <v>0</v>
      </c>
      <c r="V101" s="33">
        <f>'Cash Flow - FY'!G92</f>
        <v>0</v>
      </c>
      <c r="W101" s="23">
        <v>0</v>
      </c>
      <c r="X101" s="23">
        <v>0</v>
      </c>
      <c r="Y101" s="23">
        <v>0</v>
      </c>
      <c r="Z101" s="33">
        <f>'Cash Flow - FY'!H92</f>
        <v>0</v>
      </c>
      <c r="AA101" s="23">
        <v>0</v>
      </c>
      <c r="AB101" s="23">
        <v>0</v>
      </c>
      <c r="AC101" s="23">
        <v>0</v>
      </c>
      <c r="AD101" s="23">
        <f>+'Cash Flow - FY'!I92</f>
        <v>0</v>
      </c>
      <c r="AE101" s="23">
        <v>0</v>
      </c>
      <c r="AF101" s="23">
        <v>0</v>
      </c>
      <c r="AG101" s="23">
        <v>0</v>
      </c>
      <c r="AH101" s="23">
        <v>0</v>
      </c>
      <c r="AI101" s="23">
        <v>0</v>
      </c>
      <c r="AJ101" s="23">
        <v>0</v>
      </c>
      <c r="AK101" s="23">
        <v>0</v>
      </c>
      <c r="AL101" s="23">
        <v>0</v>
      </c>
      <c r="AM101" s="83"/>
      <c r="AN101" s="130"/>
    </row>
    <row r="102" spans="1:40" s="14" customFormat="1" ht="13" collapsed="1">
      <c r="A102" s="76" t="s">
        <v>93</v>
      </c>
      <c r="B102" s="98"/>
      <c r="C102" s="67">
        <f t="shared" ref="C102:R102" si="76">IFERROR(C68+C87+C99+C101,"n.a.")</f>
        <v>-1109.827</v>
      </c>
      <c r="D102" s="67">
        <f t="shared" si="76"/>
        <v>-905.38900000000012</v>
      </c>
      <c r="E102" s="67">
        <f t="shared" si="76"/>
        <v>-1111.2356279840139</v>
      </c>
      <c r="F102" s="67">
        <f t="shared" si="76"/>
        <v>-342.79008642764995</v>
      </c>
      <c r="G102" s="67">
        <f t="shared" si="76"/>
        <v>-509.18999999999988</v>
      </c>
      <c r="H102" s="67">
        <f t="shared" si="76"/>
        <v>-483.06599999999997</v>
      </c>
      <c r="I102" s="67">
        <f t="shared" si="76"/>
        <v>-487.40000000000015</v>
      </c>
      <c r="J102" s="67">
        <f t="shared" si="76"/>
        <v>250.19299999999976</v>
      </c>
      <c r="K102" s="67">
        <f t="shared" si="76"/>
        <v>-365.60299999999995</v>
      </c>
      <c r="L102" s="67">
        <f t="shared" si="76"/>
        <v>-579.32500000000005</v>
      </c>
      <c r="M102" s="67">
        <f t="shared" si="76"/>
        <v>-527.10700000000031</v>
      </c>
      <c r="N102" s="67">
        <f t="shared" si="76"/>
        <v>315.86600000000055</v>
      </c>
      <c r="O102" s="67">
        <f t="shared" si="76"/>
        <v>-768.351</v>
      </c>
      <c r="P102" s="67">
        <f t="shared" si="76"/>
        <v>-68.578999999999837</v>
      </c>
      <c r="Q102" s="67">
        <f t="shared" si="76"/>
        <v>-358.95699999999999</v>
      </c>
      <c r="R102" s="67">
        <f t="shared" si="76"/>
        <v>806.06899999999973</v>
      </c>
      <c r="S102" s="67">
        <f>IFERROR(S68+S87+S99+S101+0.001,"n.a.")</f>
        <v>-1560.0649999999998</v>
      </c>
      <c r="T102" s="67">
        <f>IFERROR(T68+T87+T99+T101,"n.a.")</f>
        <v>-1501.2360000000001</v>
      </c>
      <c r="U102" s="67">
        <f>IFERROR(U68+U87+U99+U101,"n.a.")</f>
        <v>-1520.2449999999999</v>
      </c>
      <c r="V102" s="67">
        <f>IFERROR(V68+V87+V99+V101,"n.a.")</f>
        <v>-421.91700000000037</v>
      </c>
      <c r="W102" s="67">
        <f>IFERROR(W68+W87+W99+W101,"n.a.")</f>
        <v>-1063.2630000000001</v>
      </c>
      <c r="X102" s="67">
        <f>IFERROR(X68+X87+X99+X101,"n.a.")</f>
        <v>-1032.3360000000002</v>
      </c>
      <c r="Y102" s="67">
        <f>IFERROR(Y68+Y87+Y99+Y101-0.1,"n.a.")</f>
        <v>-610.53899999999999</v>
      </c>
      <c r="Z102" s="67">
        <f t="shared" ref="Z102:AK102" si="77">IFERROR(Z68+Z87+Z99+Z101,"n.a.")</f>
        <v>-599.77080367725773</v>
      </c>
      <c r="AA102" s="67">
        <f t="shared" si="77"/>
        <v>-91.646999999999935</v>
      </c>
      <c r="AB102" s="67">
        <f t="shared" si="77"/>
        <v>-14.835500000000081</v>
      </c>
      <c r="AC102" s="67">
        <f t="shared" si="77"/>
        <v>-627.26807781222556</v>
      </c>
      <c r="AD102" s="67">
        <f t="shared" si="77"/>
        <v>-12.580637694613415</v>
      </c>
      <c r="AE102" s="67">
        <f t="shared" si="77"/>
        <v>-417.49152870327384</v>
      </c>
      <c r="AF102" s="67">
        <f t="shared" si="77"/>
        <v>-553.2380592269958</v>
      </c>
      <c r="AG102" s="67">
        <f t="shared" si="77"/>
        <v>-479.46466829757321</v>
      </c>
      <c r="AH102" s="67">
        <f>IFERROR(AH68+AH87+AH99+AH101,"n.a.")</f>
        <v>260.64227838754971</v>
      </c>
      <c r="AI102" s="67">
        <f t="shared" si="77"/>
        <v>-613.13035044578191</v>
      </c>
      <c r="AJ102" s="67">
        <f t="shared" si="77"/>
        <v>-614.4322513955824</v>
      </c>
      <c r="AK102" s="67">
        <f t="shared" si="77"/>
        <v>-542.56036589145128</v>
      </c>
      <c r="AL102" s="67">
        <f t="shared" ref="AL102" si="78">IFERROR(AL68+AL87+AL99+AL101,"n.a.")</f>
        <v>57.413536557927728</v>
      </c>
      <c r="AM102" s="83"/>
      <c r="AN102" s="130"/>
    </row>
    <row r="103" spans="1:40" ht="12.5">
      <c r="A103" s="83"/>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83"/>
    </row>
    <row r="104" spans="1:40" s="14" customFormat="1" ht="13">
      <c r="A104" s="120" t="s">
        <v>197</v>
      </c>
      <c r="B104" s="91"/>
      <c r="C104" s="49">
        <v>1523.9280000000001</v>
      </c>
      <c r="D104" s="23">
        <v>1397.38</v>
      </c>
      <c r="E104" s="49">
        <f>+C104</f>
        <v>1523.9280000000001</v>
      </c>
      <c r="F104" s="33">
        <f>'Cash Flow - FY'!C95</f>
        <v>1523.9280000000001</v>
      </c>
      <c r="G104" s="49">
        <f>F106</f>
        <v>1109.6549135723501</v>
      </c>
      <c r="H104" s="49">
        <f>F106</f>
        <v>1109.6549135723501</v>
      </c>
      <c r="I104" s="49">
        <f>F106</f>
        <v>1109.6549135723501</v>
      </c>
      <c r="J104" s="33">
        <f>'Cash Flow - FY'!D95</f>
        <v>1109.63991357235</v>
      </c>
      <c r="K104" s="49">
        <f>J106-0.05</f>
        <v>1303.8369135723499</v>
      </c>
      <c r="L104" s="49">
        <f>J106-0.05</f>
        <v>1303.8369135723499</v>
      </c>
      <c r="M104" s="49">
        <f>J106-0.05</f>
        <v>1303.8369135723499</v>
      </c>
      <c r="N104" s="33">
        <f>'Cash Flow - FY'!E95</f>
        <v>1303.8519135723498</v>
      </c>
      <c r="O104" s="49">
        <f>N106-0.013</f>
        <v>1600.6129135723504</v>
      </c>
      <c r="P104" s="49">
        <f>N106+0.002</f>
        <v>1600.6279135723503</v>
      </c>
      <c r="Q104" s="49">
        <f>N106+0.002</f>
        <v>1600.6279135723503</v>
      </c>
      <c r="R104" s="33">
        <f>'Cash Flow - FY'!F95</f>
        <v>1600.6259135723503</v>
      </c>
      <c r="S104" s="49">
        <f>R106</f>
        <v>2269.6819135723499</v>
      </c>
      <c r="T104" s="49">
        <f>R106</f>
        <v>2269.6819135723499</v>
      </c>
      <c r="U104" s="49">
        <f>R106</f>
        <v>2269.6819135723499</v>
      </c>
      <c r="V104" s="33">
        <f>'Cash Flow - FY'!G95</f>
        <v>2269.6819135723499</v>
      </c>
      <c r="W104" s="49">
        <f>V106</f>
        <v>1883.5889135723496</v>
      </c>
      <c r="X104" s="49">
        <f>V106</f>
        <v>1883.5889135723496</v>
      </c>
      <c r="Y104" s="49">
        <f>V106</f>
        <v>1883.5889135723496</v>
      </c>
      <c r="Z104" s="33">
        <f>'Cash Flow - FY'!H95</f>
        <v>1883.5889135723496</v>
      </c>
      <c r="AA104" s="49">
        <f>Z106</f>
        <v>1283.3270408950918</v>
      </c>
      <c r="AB104" s="49">
        <f>Z106</f>
        <v>1283.3270408950918</v>
      </c>
      <c r="AC104" s="49">
        <f>+Z106</f>
        <v>1283.3270408950918</v>
      </c>
      <c r="AD104" s="49">
        <f>+Z106</f>
        <v>1283.3270408950918</v>
      </c>
      <c r="AE104" s="49">
        <f>AD106</f>
        <v>1248.7914682004784</v>
      </c>
      <c r="AF104" s="49">
        <f>AD106</f>
        <v>1248.7914682004784</v>
      </c>
      <c r="AG104" s="49">
        <f>+AD106</f>
        <v>1248.7914682004784</v>
      </c>
      <c r="AH104" s="49">
        <f>'Cash Flow - FY'!J95</f>
        <v>1248.8914682004788</v>
      </c>
      <c r="AI104" s="49">
        <f>AH106</f>
        <v>1501.3549825880284</v>
      </c>
      <c r="AJ104" s="49">
        <f>AH106</f>
        <v>1501.3549825880284</v>
      </c>
      <c r="AK104" s="49">
        <f>AH106</f>
        <v>1501.3549825880284</v>
      </c>
      <c r="AL104" s="49">
        <f>AH106</f>
        <v>1501.3549825880284</v>
      </c>
      <c r="AM104" s="83"/>
      <c r="AN104" s="130"/>
    </row>
    <row r="105" spans="1:40" ht="12.5">
      <c r="A105" s="86" t="s">
        <v>10</v>
      </c>
      <c r="B105" s="92"/>
      <c r="C105" s="24">
        <v>2.839</v>
      </c>
      <c r="D105" s="24">
        <v>-49.118000000000002</v>
      </c>
      <c r="E105" s="24">
        <v>-50.427</v>
      </c>
      <c r="F105" s="48">
        <f>'Cash Flow - FY'!C96</f>
        <v>-71.483000000000004</v>
      </c>
      <c r="G105" s="24">
        <v>-12.413</v>
      </c>
      <c r="H105" s="24">
        <v>-45.932000000000002</v>
      </c>
      <c r="I105" s="24">
        <v>-72.896000000000001</v>
      </c>
      <c r="J105" s="48">
        <f>'Cash Flow - FY'!D96</f>
        <v>-55.945999999999998</v>
      </c>
      <c r="K105" s="24">
        <v>9.2110000000000003</v>
      </c>
      <c r="L105" s="24">
        <v>4.3769999999999998</v>
      </c>
      <c r="M105" s="24">
        <v>-11.691000000000001</v>
      </c>
      <c r="N105" s="48">
        <f>'Cash Flow - FY'!E96</f>
        <v>-19.091999999999999</v>
      </c>
      <c r="O105" s="24">
        <v>-53.97</v>
      </c>
      <c r="P105" s="24">
        <v>-94.54</v>
      </c>
      <c r="Q105" s="24">
        <v>-127.03100000000001</v>
      </c>
      <c r="R105" s="48">
        <f>'Cash Flow - FY'!F96</f>
        <v>-137.01300000000001</v>
      </c>
      <c r="S105" s="24">
        <v>1.2350000000000001</v>
      </c>
      <c r="T105" s="24">
        <v>14.361000000000001</v>
      </c>
      <c r="U105" s="24">
        <v>20.561</v>
      </c>
      <c r="V105" s="48">
        <f>'Cash Flow - FY'!G96</f>
        <v>35.823999999999998</v>
      </c>
      <c r="W105" s="24">
        <v>18.670999999999999</v>
      </c>
      <c r="X105" s="24">
        <v>28.077000000000002</v>
      </c>
      <c r="Y105" s="24">
        <v>34.896999999999998</v>
      </c>
      <c r="Z105" s="48">
        <f>'Cash Flow - FY'!H96</f>
        <v>-0.49106899999999998</v>
      </c>
      <c r="AA105" s="24">
        <v>-4.2629999999999999</v>
      </c>
      <c r="AB105" s="24">
        <v>-21.248999999999999</v>
      </c>
      <c r="AC105" s="24">
        <v>-10.108912999999999</v>
      </c>
      <c r="AD105" s="48">
        <f>+'Cash Flow - FY'!I96</f>
        <v>-21.954934999999999</v>
      </c>
      <c r="AE105" s="24">
        <v>2.2123840000000001</v>
      </c>
      <c r="AF105" s="24">
        <v>-5.0934529999999993</v>
      </c>
      <c r="AG105" s="24">
        <v>-23.180743999999997</v>
      </c>
      <c r="AH105" s="48">
        <f>'Cash Flow - FY'!J96</f>
        <v>-8.1787639999999993</v>
      </c>
      <c r="AI105" s="24">
        <v>-10.750640000000001</v>
      </c>
      <c r="AJ105" s="24">
        <v>-39.384610000000002</v>
      </c>
      <c r="AK105" s="24">
        <v>-34.396438000000003</v>
      </c>
      <c r="AL105" s="48">
        <f>'Cash Flow - FY'!K96</f>
        <v>-34.619354999999999</v>
      </c>
      <c r="AM105" s="38"/>
      <c r="AN105" s="178"/>
    </row>
    <row r="106" spans="1:40" ht="13">
      <c r="A106" s="76" t="s">
        <v>9</v>
      </c>
      <c r="B106" s="98"/>
      <c r="C106" s="67">
        <f>IFERROR(C102+C104+C105,"n.a.")</f>
        <v>416.94000000000011</v>
      </c>
      <c r="D106" s="67">
        <f t="shared" ref="D106:AK106" si="79">IFERROR(D102+D104+D105,"n.a.")</f>
        <v>442.87299999999999</v>
      </c>
      <c r="E106" s="67">
        <f t="shared" si="79"/>
        <v>362.26537201598615</v>
      </c>
      <c r="F106" s="67">
        <f t="shared" si="79"/>
        <v>1109.6549135723501</v>
      </c>
      <c r="G106" s="67">
        <f t="shared" si="79"/>
        <v>588.05191357235026</v>
      </c>
      <c r="H106" s="67">
        <f t="shared" si="79"/>
        <v>580.65691357235005</v>
      </c>
      <c r="I106" s="67">
        <f t="shared" si="79"/>
        <v>549.35891357235005</v>
      </c>
      <c r="J106" s="67">
        <f t="shared" si="79"/>
        <v>1303.8869135723498</v>
      </c>
      <c r="K106" s="67">
        <f t="shared" si="79"/>
        <v>947.44491357234995</v>
      </c>
      <c r="L106" s="67">
        <f t="shared" si="79"/>
        <v>728.88891357234979</v>
      </c>
      <c r="M106" s="67">
        <f t="shared" si="79"/>
        <v>765.03891357234954</v>
      </c>
      <c r="N106" s="67">
        <f t="shared" si="79"/>
        <v>1600.6259135723503</v>
      </c>
      <c r="O106" s="67">
        <f t="shared" si="79"/>
        <v>778.29191357235038</v>
      </c>
      <c r="P106" s="67">
        <f t="shared" si="79"/>
        <v>1437.5089135723506</v>
      </c>
      <c r="Q106" s="67">
        <f t="shared" si="79"/>
        <v>1114.6399135723505</v>
      </c>
      <c r="R106" s="67">
        <f t="shared" si="79"/>
        <v>2269.6819135723499</v>
      </c>
      <c r="S106" s="67">
        <f t="shared" si="79"/>
        <v>710.8519135723501</v>
      </c>
      <c r="T106" s="67">
        <f t="shared" si="79"/>
        <v>782.8069135723498</v>
      </c>
      <c r="U106" s="67">
        <f t="shared" si="79"/>
        <v>769.99791357235006</v>
      </c>
      <c r="V106" s="67">
        <f t="shared" si="79"/>
        <v>1883.5889135723496</v>
      </c>
      <c r="W106" s="67">
        <f t="shared" si="79"/>
        <v>838.99691357234951</v>
      </c>
      <c r="X106" s="67">
        <f t="shared" si="79"/>
        <v>879.32991357234937</v>
      </c>
      <c r="Y106" s="67">
        <f t="shared" si="79"/>
        <v>1307.9469135723496</v>
      </c>
      <c r="Z106" s="67">
        <f t="shared" si="79"/>
        <v>1283.3270408950918</v>
      </c>
      <c r="AA106" s="67">
        <f t="shared" si="79"/>
        <v>1187.417040895092</v>
      </c>
      <c r="AB106" s="67">
        <f t="shared" si="79"/>
        <v>1247.2425408950917</v>
      </c>
      <c r="AC106" s="67">
        <f t="shared" si="79"/>
        <v>645.95005008286626</v>
      </c>
      <c r="AD106" s="67">
        <f t="shared" si="79"/>
        <v>1248.7914682004784</v>
      </c>
      <c r="AE106" s="67">
        <f t="shared" si="79"/>
        <v>833.51232349720465</v>
      </c>
      <c r="AF106" s="67">
        <f t="shared" si="79"/>
        <v>690.45995597348269</v>
      </c>
      <c r="AG106" s="67">
        <f t="shared" si="79"/>
        <v>746.14605590290523</v>
      </c>
      <c r="AH106" s="67">
        <f t="shared" si="79"/>
        <v>1501.3549825880284</v>
      </c>
      <c r="AI106" s="67">
        <f t="shared" si="79"/>
        <v>877.47399214224652</v>
      </c>
      <c r="AJ106" s="67">
        <f>IFERROR(AJ102+AJ104+AJ105,"n.a.")</f>
        <v>847.53812119244606</v>
      </c>
      <c r="AK106" s="67">
        <f t="shared" si="79"/>
        <v>924.39817869657713</v>
      </c>
      <c r="AL106" s="67">
        <f t="shared" ref="AL106" si="80">IFERROR(AL102+AL104+AL105,"n.a.")</f>
        <v>1524.1491641459561</v>
      </c>
      <c r="AM106" s="83"/>
    </row>
    <row r="107" spans="1:40" ht="12.5">
      <c r="AM107" s="83"/>
    </row>
    <row r="108" spans="1:40" ht="12.5">
      <c r="AM108" s="83"/>
    </row>
    <row r="109" spans="1:40" s="38" customFormat="1" ht="11.25" customHeight="1">
      <c r="A109" s="227" t="s">
        <v>176</v>
      </c>
      <c r="B109" s="227"/>
      <c r="C109" s="227"/>
      <c r="D109" s="227"/>
      <c r="E109" s="227"/>
      <c r="F109" s="227"/>
      <c r="G109" s="227"/>
      <c r="H109" s="227"/>
      <c r="I109" s="227"/>
      <c r="J109" s="227"/>
      <c r="K109" s="227"/>
      <c r="L109" s="227"/>
      <c r="M109" s="227"/>
      <c r="N109" s="227"/>
      <c r="O109" s="227"/>
      <c r="P109" s="227"/>
      <c r="Q109" s="227"/>
      <c r="R109" s="227"/>
      <c r="S109" s="227"/>
      <c r="T109" s="227"/>
      <c r="U109" s="227"/>
      <c r="V109" s="227"/>
      <c r="W109" s="227"/>
      <c r="X109" s="227"/>
      <c r="AH109" s="2"/>
      <c r="AM109" s="83"/>
      <c r="AN109" s="130"/>
    </row>
    <row r="110" spans="1:40" s="38" customFormat="1" ht="11.25" customHeight="1">
      <c r="A110" s="227" t="s">
        <v>212</v>
      </c>
      <c r="B110" s="227"/>
      <c r="C110" s="227"/>
      <c r="D110" s="227"/>
      <c r="E110" s="227"/>
      <c r="F110" s="227"/>
      <c r="G110" s="227"/>
      <c r="H110" s="227"/>
      <c r="I110" s="227"/>
      <c r="J110" s="227"/>
      <c r="K110" s="227"/>
      <c r="L110" s="227"/>
      <c r="M110" s="227"/>
      <c r="N110" s="227"/>
      <c r="O110" s="227"/>
      <c r="P110" s="227"/>
      <c r="Q110" s="227"/>
      <c r="R110" s="227"/>
      <c r="S110" s="227"/>
      <c r="T110" s="227"/>
      <c r="U110" s="227"/>
      <c r="V110" s="227"/>
      <c r="W110" s="227"/>
      <c r="X110" s="227"/>
      <c r="AH110" s="2"/>
      <c r="AM110" s="83"/>
      <c r="AN110" s="130"/>
    </row>
    <row r="111" spans="1:40" s="38" customFormat="1" ht="11.25" customHeight="1">
      <c r="A111" s="227" t="s">
        <v>211</v>
      </c>
      <c r="B111" s="227"/>
      <c r="C111" s="227"/>
      <c r="D111" s="227"/>
      <c r="E111" s="227"/>
      <c r="F111" s="227"/>
      <c r="G111" s="227"/>
      <c r="H111" s="227"/>
      <c r="I111" s="227"/>
      <c r="J111" s="227"/>
      <c r="K111" s="227"/>
      <c r="L111" s="227"/>
      <c r="M111" s="227"/>
      <c r="N111" s="227"/>
      <c r="O111" s="227"/>
      <c r="P111" s="227"/>
      <c r="Q111" s="227"/>
      <c r="R111" s="227"/>
      <c r="S111" s="227"/>
      <c r="T111" s="227"/>
      <c r="U111" s="227"/>
      <c r="V111" s="227"/>
      <c r="W111" s="227"/>
      <c r="X111" s="227"/>
      <c r="AH111" s="2"/>
      <c r="AM111" s="83"/>
      <c r="AN111" s="130"/>
    </row>
    <row r="112" spans="1:40" ht="12.5">
      <c r="AM112" s="83"/>
    </row>
    <row r="113" spans="18:39" ht="12.5">
      <c r="R113" s="167"/>
      <c r="AM113" s="83"/>
    </row>
    <row r="114" spans="18:39" ht="12.5">
      <c r="R114" s="167"/>
      <c r="AM114" s="83"/>
    </row>
    <row r="115" spans="18:39" ht="12.5">
      <c r="R115" s="167"/>
      <c r="AM115" s="83"/>
    </row>
    <row r="116" spans="18:39" ht="12.5">
      <c r="R116" s="167"/>
      <c r="AM116" s="83"/>
    </row>
    <row r="117" spans="18:39" ht="12.5">
      <c r="R117" s="167"/>
      <c r="AM117" s="83"/>
    </row>
    <row r="118" spans="18:39" ht="12.5">
      <c r="R118" s="167"/>
      <c r="AM118" s="83"/>
    </row>
    <row r="119" spans="18:39" ht="12.5">
      <c r="R119" s="167"/>
      <c r="AM119" s="83"/>
    </row>
    <row r="120" spans="18:39" ht="12.5">
      <c r="R120" s="167"/>
      <c r="AM120" s="83"/>
    </row>
    <row r="121" spans="18:39" ht="12.5">
      <c r="R121" s="167"/>
      <c r="AM121" s="83"/>
    </row>
    <row r="122" spans="18:39" ht="12.5">
      <c r="R122" s="167"/>
      <c r="AM122" s="83"/>
    </row>
    <row r="123" spans="18:39" ht="12.5">
      <c r="R123" s="167"/>
      <c r="AM123" s="83"/>
    </row>
    <row r="124" spans="18:39" ht="12.5">
      <c r="AM124" s="83"/>
    </row>
    <row r="125" spans="18:39" ht="12.5">
      <c r="AM125" s="83"/>
    </row>
    <row r="126" spans="18:39" ht="12.5">
      <c r="AM126" s="83"/>
    </row>
    <row r="127" spans="18:39" ht="12.5">
      <c r="AM127" s="83"/>
    </row>
    <row r="128" spans="18:39" ht="12.5">
      <c r="AM128" s="83"/>
    </row>
    <row r="129" spans="39:39" ht="12.5">
      <c r="AM129" s="83"/>
    </row>
  </sheetData>
  <mergeCells count="3">
    <mergeCell ref="A109:X109"/>
    <mergeCell ref="A111:X111"/>
    <mergeCell ref="A110:X110"/>
  </mergeCells>
  <pageMargins left="0" right="0" top="0" bottom="0" header="0" footer="0"/>
  <pageSetup paperSize="9" scale="48" orientation="portrait" r:id="rId1"/>
  <ignoredErrors>
    <ignoredError sqref="D48 J45:J47 J13 F13 H48 R50 T8 U13 S102 T68 R13 V12 Y62 Y65 Y68 Y48 Y15 Y102 Z12:Z13 AD12 AC15" formula="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64"/>
  <sheetViews>
    <sheetView showGridLines="0" zoomScaleNormal="100" zoomScaleSheetLayoutView="90" workbookViewId="0">
      <pane xSplit="2" ySplit="6" topLeftCell="F7" activePane="bottomRight" state="frozen"/>
      <selection activeCell="AQ123" sqref="AQ123"/>
      <selection pane="topRight" activeCell="AQ123" sqref="AQ123"/>
      <selection pane="bottomLeft" activeCell="AQ123" sqref="AQ123"/>
      <selection pane="bottomRight"/>
    </sheetView>
  </sheetViews>
  <sheetFormatPr defaultColWidth="9" defaultRowHeight="12.5" outlineLevelRow="2" outlineLevelCol="1"/>
  <cols>
    <col min="1" max="1" width="50.58203125" style="2" customWidth="1"/>
    <col min="2" max="2" width="2.58203125" style="2" customWidth="1"/>
    <col min="3" max="4" width="12.58203125" style="20" hidden="1" customWidth="1" outlineLevel="1" collapsed="1"/>
    <col min="5" max="5" width="12.58203125" style="20" hidden="1" customWidth="1" outlineLevel="1"/>
    <col min="6" max="6" width="12.58203125" style="20" customWidth="1" collapsed="1"/>
    <col min="7" max="11" width="12.58203125" style="20" customWidth="1"/>
    <col min="12" max="16384" width="9" style="2"/>
  </cols>
  <sheetData>
    <row r="1" spans="1:15" s="7" customFormat="1" ht="27.75" customHeight="1">
      <c r="A1" s="7" t="s">
        <v>147</v>
      </c>
      <c r="C1" s="8"/>
      <c r="D1" s="8"/>
      <c r="E1" s="8"/>
      <c r="F1" s="8"/>
      <c r="G1" s="8"/>
      <c r="H1" s="8"/>
      <c r="I1" s="8"/>
      <c r="J1" s="8"/>
      <c r="K1" s="8"/>
    </row>
    <row r="2" spans="1:15">
      <c r="A2" s="158" t="s">
        <v>146</v>
      </c>
      <c r="B2" s="158"/>
      <c r="C2" s="153"/>
      <c r="D2" s="153"/>
      <c r="E2" s="153"/>
      <c r="F2" s="153"/>
      <c r="G2" s="153"/>
      <c r="H2" s="153"/>
      <c r="I2" s="153"/>
      <c r="J2" s="153"/>
      <c r="K2" s="153"/>
    </row>
    <row r="4" spans="1:15" s="14" customFormat="1" ht="13.5" thickBot="1">
      <c r="A4" s="9" t="s">
        <v>118</v>
      </c>
      <c r="B4" s="9"/>
      <c r="C4" s="10" t="s">
        <v>130</v>
      </c>
      <c r="D4" s="10" t="s">
        <v>192</v>
      </c>
      <c r="E4" s="10" t="s">
        <v>222</v>
      </c>
      <c r="F4" s="10" t="s">
        <v>244</v>
      </c>
      <c r="G4" s="10" t="s">
        <v>286</v>
      </c>
      <c r="H4" s="10" t="s">
        <v>297</v>
      </c>
      <c r="I4" s="10" t="s">
        <v>305</v>
      </c>
      <c r="J4" s="10" t="s">
        <v>316</v>
      </c>
      <c r="K4" s="10" t="s">
        <v>351</v>
      </c>
    </row>
    <row r="5" spans="1:15">
      <c r="C5" s="20" t="s">
        <v>138</v>
      </c>
      <c r="D5" s="20" t="s">
        <v>138</v>
      </c>
      <c r="E5" s="20" t="s">
        <v>138</v>
      </c>
      <c r="F5" s="20" t="s">
        <v>138</v>
      </c>
      <c r="G5" s="20" t="s">
        <v>138</v>
      </c>
      <c r="H5" s="20" t="s">
        <v>138</v>
      </c>
      <c r="I5" s="20" t="s">
        <v>138</v>
      </c>
      <c r="J5" s="20" t="s">
        <v>138</v>
      </c>
      <c r="K5" s="20" t="s">
        <v>138</v>
      </c>
    </row>
    <row r="7" spans="1:15" s="14" customFormat="1" ht="13">
      <c r="A7" s="64" t="s">
        <v>144</v>
      </c>
      <c r="B7" s="64"/>
      <c r="C7" s="208">
        <v>5352.2759999999998</v>
      </c>
      <c r="D7" s="208">
        <v>5194.4640000000009</v>
      </c>
      <c r="E7" s="208">
        <v>5323.0529999999999</v>
      </c>
      <c r="F7" s="208">
        <v>4302.1310000000003</v>
      </c>
      <c r="G7" s="208">
        <v>5331.45</v>
      </c>
      <c r="H7" s="208">
        <v>6615.7</v>
      </c>
      <c r="I7" s="208">
        <v>6650.13345510196</v>
      </c>
      <c r="J7" s="208">
        <v>6773.3238674580271</v>
      </c>
      <c r="K7" s="208">
        <f>+[1]FY!$Q$29</f>
        <v>6776.1559290915802</v>
      </c>
    </row>
    <row r="8" spans="1:15" ht="13">
      <c r="A8" s="19" t="s">
        <v>13</v>
      </c>
      <c r="B8" s="19"/>
      <c r="C8" s="23">
        <v>3079.2139999999999</v>
      </c>
      <c r="D8" s="23">
        <v>3309.9160000000002</v>
      </c>
      <c r="E8" s="23">
        <v>3539.9270000000001</v>
      </c>
      <c r="F8" s="23">
        <v>3029.819</v>
      </c>
      <c r="G8" s="23">
        <v>3777.971</v>
      </c>
      <c r="H8" s="23">
        <v>4691.357</v>
      </c>
      <c r="I8" s="23">
        <v>4969.8094594422</v>
      </c>
      <c r="J8" s="23">
        <v>5125.7508131118102</v>
      </c>
      <c r="K8" s="23">
        <f>+'[2]Revenues Drivers vs PY'!$AF$50</f>
        <v>5329.6690922276339</v>
      </c>
      <c r="L8" s="14"/>
      <c r="M8" s="14"/>
      <c r="N8" s="14"/>
    </row>
    <row r="9" spans="1:15" ht="13">
      <c r="A9" s="16" t="s">
        <v>12</v>
      </c>
      <c r="B9" s="16"/>
      <c r="C9" s="51">
        <f t="shared" ref="C9:D9" si="0">IFERROR(C7-C8,"n.a.")</f>
        <v>2273.0619999999999</v>
      </c>
      <c r="D9" s="51">
        <f t="shared" si="0"/>
        <v>1884.5480000000007</v>
      </c>
      <c r="E9" s="51">
        <f>IFERROR(E7-E8+0.05,"n.a.")</f>
        <v>1783.1759999999997</v>
      </c>
      <c r="F9" s="51">
        <f t="shared" ref="F9:K9" si="1">IFERROR(F7-F8,"n.a.")</f>
        <v>1272.3120000000004</v>
      </c>
      <c r="G9" s="51">
        <f t="shared" si="1"/>
        <v>1553.4789999999998</v>
      </c>
      <c r="H9" s="51">
        <f t="shared" si="1"/>
        <v>1924.3429999999998</v>
      </c>
      <c r="I9" s="51">
        <f t="shared" si="1"/>
        <v>1680.3239956597599</v>
      </c>
      <c r="J9" s="51">
        <f t="shared" si="1"/>
        <v>1647.5730543462168</v>
      </c>
      <c r="K9" s="51">
        <f t="shared" si="1"/>
        <v>1446.4868368639463</v>
      </c>
      <c r="L9" s="14"/>
      <c r="M9" s="14"/>
      <c r="N9" s="14"/>
    </row>
    <row r="10" spans="1:15" ht="13">
      <c r="C10" s="22"/>
      <c r="D10" s="22"/>
      <c r="E10" s="22"/>
      <c r="F10" s="22"/>
      <c r="G10" s="22"/>
      <c r="H10" s="22"/>
      <c r="I10" s="22"/>
      <c r="J10" s="22"/>
      <c r="K10" s="22"/>
      <c r="L10" s="14"/>
      <c r="M10" s="14"/>
      <c r="N10" s="14"/>
    </row>
    <row r="11" spans="1:15" s="14" customFormat="1" ht="13">
      <c r="A11" s="64" t="s">
        <v>333</v>
      </c>
      <c r="B11" s="64"/>
      <c r="C11" s="208">
        <v>1137.7</v>
      </c>
      <c r="D11" s="208">
        <v>1234.7</v>
      </c>
      <c r="E11" s="208">
        <v>1310.085</v>
      </c>
      <c r="F11" s="208">
        <v>892.63400000000001</v>
      </c>
      <c r="G11" s="208">
        <v>1210.7149999999999</v>
      </c>
      <c r="H11" s="208">
        <v>1408.346</v>
      </c>
      <c r="I11" s="208">
        <v>1446.0561405516601</v>
      </c>
      <c r="J11" s="208">
        <v>1519.5</v>
      </c>
      <c r="K11" s="208">
        <f>+[1]FY!$Q$35</f>
        <v>1548.2792637944899</v>
      </c>
      <c r="L11" s="2"/>
      <c r="M11" s="2"/>
      <c r="N11" s="2"/>
      <c r="O11" s="2"/>
    </row>
    <row r="12" spans="1:15">
      <c r="A12" s="197" t="s">
        <v>342</v>
      </c>
      <c r="B12" s="104"/>
      <c r="C12" s="25">
        <f t="shared" ref="C12:K12" si="2">IFERROR(C11/C7,"n.a.")</f>
        <v>0.2125637766064381</v>
      </c>
      <c r="D12" s="25">
        <f t="shared" si="2"/>
        <v>0.23769536183136505</v>
      </c>
      <c r="E12" s="25">
        <f t="shared" si="2"/>
        <v>0.24611534020044512</v>
      </c>
      <c r="F12" s="25">
        <f t="shared" si="2"/>
        <v>0.20748647588834462</v>
      </c>
      <c r="G12" s="25">
        <f t="shared" si="2"/>
        <v>0.22708925339260425</v>
      </c>
      <c r="H12" s="25">
        <f t="shared" si="2"/>
        <v>0.21287936272805599</v>
      </c>
      <c r="I12" s="25">
        <f t="shared" si="2"/>
        <v>0.21744768737569478</v>
      </c>
      <c r="J12" s="25">
        <f t="shared" si="2"/>
        <v>0.224335943435443</v>
      </c>
      <c r="K12" s="25">
        <f t="shared" si="2"/>
        <v>0.22848932049325701</v>
      </c>
    </row>
    <row r="13" spans="1:15" ht="13">
      <c r="C13" s="22"/>
      <c r="D13" s="22"/>
      <c r="E13" s="22"/>
      <c r="F13" s="22"/>
      <c r="G13" s="22"/>
      <c r="H13" s="22"/>
      <c r="I13" s="22"/>
      <c r="J13" s="22"/>
      <c r="K13" s="22"/>
      <c r="L13" s="14"/>
      <c r="M13" s="14"/>
      <c r="N13" s="14"/>
    </row>
    <row r="14" spans="1:15" s="14" customFormat="1" ht="15" customHeight="1">
      <c r="A14" s="19" t="s">
        <v>188</v>
      </c>
      <c r="B14" s="19"/>
      <c r="C14" s="49">
        <f t="shared" ref="C14:K14" si="3">IFERROR(C21-C11,"n.a.")</f>
        <v>-261.30000000000007</v>
      </c>
      <c r="D14" s="49">
        <f t="shared" si="3"/>
        <v>-279.70000000000005</v>
      </c>
      <c r="E14" s="49">
        <f t="shared" si="3"/>
        <v>-392.78499999999997</v>
      </c>
      <c r="F14" s="49">
        <f t="shared" si="3"/>
        <v>-391.45400000000001</v>
      </c>
      <c r="G14" s="49">
        <f t="shared" si="3"/>
        <v>-394.93399999999997</v>
      </c>
      <c r="H14" s="49">
        <f t="shared" si="3"/>
        <v>-430.56299999999999</v>
      </c>
      <c r="I14" s="49">
        <f t="shared" si="3"/>
        <v>-444.2696390000001</v>
      </c>
      <c r="J14" s="49">
        <f t="shared" si="3"/>
        <v>-458.97196920172019</v>
      </c>
      <c r="K14" s="49">
        <f t="shared" si="3"/>
        <v>-466.89861100001986</v>
      </c>
      <c r="L14" s="2"/>
      <c r="M14" s="2"/>
      <c r="N14" s="2"/>
      <c r="O14" s="2"/>
    </row>
    <row r="15" spans="1:15" ht="13">
      <c r="C15" s="22"/>
      <c r="D15" s="22"/>
      <c r="E15" s="22"/>
      <c r="F15" s="22"/>
      <c r="G15" s="22"/>
      <c r="H15" s="22"/>
      <c r="I15" s="22"/>
      <c r="J15" s="22"/>
      <c r="K15" s="22"/>
      <c r="L15" s="14"/>
      <c r="M15" s="14"/>
      <c r="N15" s="14"/>
    </row>
    <row r="16" spans="1:15" s="14" customFormat="1" ht="14" hidden="1" outlineLevel="2">
      <c r="A16" s="18" t="s">
        <v>334</v>
      </c>
      <c r="B16" s="18"/>
      <c r="C16" s="21">
        <v>926.6</v>
      </c>
      <c r="D16" s="21">
        <v>1002.7</v>
      </c>
      <c r="E16" s="21">
        <v>958.6</v>
      </c>
      <c r="F16" s="21" t="s">
        <v>164</v>
      </c>
      <c r="G16" s="21" t="s">
        <v>164</v>
      </c>
      <c r="H16" s="21" t="s">
        <v>164</v>
      </c>
      <c r="I16" s="21" t="s">
        <v>164</v>
      </c>
      <c r="J16" s="21" t="s">
        <v>164</v>
      </c>
      <c r="K16" s="21" t="s">
        <v>164</v>
      </c>
    </row>
    <row r="17" spans="1:15" hidden="1" outlineLevel="2">
      <c r="A17" s="215" t="s">
        <v>141</v>
      </c>
      <c r="B17" s="215"/>
      <c r="C17" s="216">
        <v>0.83</v>
      </c>
      <c r="D17" s="216">
        <v>0.83199999999999996</v>
      </c>
      <c r="E17" s="216">
        <v>0.83499999999999996</v>
      </c>
      <c r="F17" s="216" t="s">
        <v>164</v>
      </c>
      <c r="G17" s="216" t="s">
        <v>164</v>
      </c>
      <c r="H17" s="216" t="s">
        <v>164</v>
      </c>
      <c r="I17" s="216" t="s">
        <v>164</v>
      </c>
      <c r="J17" s="216" t="s">
        <v>164</v>
      </c>
      <c r="K17" s="216" t="s">
        <v>164</v>
      </c>
    </row>
    <row r="18" spans="1:15" ht="14" hidden="1" outlineLevel="2">
      <c r="A18" s="197" t="s">
        <v>328</v>
      </c>
      <c r="B18" s="104"/>
      <c r="C18" s="25">
        <f t="shared" ref="C18:K18" si="4">IFERROR(C16/C7,"n.a.")</f>
        <v>0.17312261176366839</v>
      </c>
      <c r="D18" s="25">
        <f t="shared" si="4"/>
        <v>0.19303242836989531</v>
      </c>
      <c r="E18" s="25">
        <f t="shared" si="4"/>
        <v>0.18008462436875983</v>
      </c>
      <c r="F18" s="25" t="str">
        <f t="shared" si="4"/>
        <v>n.a.</v>
      </c>
      <c r="G18" s="25" t="str">
        <f t="shared" si="4"/>
        <v>n.a.</v>
      </c>
      <c r="H18" s="25" t="str">
        <f t="shared" si="4"/>
        <v>n.a.</v>
      </c>
      <c r="I18" s="25" t="str">
        <f t="shared" si="4"/>
        <v>n.a.</v>
      </c>
      <c r="J18" s="25" t="str">
        <f t="shared" si="4"/>
        <v>n.a.</v>
      </c>
      <c r="K18" s="25" t="str">
        <f t="shared" si="4"/>
        <v>n.a.</v>
      </c>
    </row>
    <row r="19" spans="1:15" ht="12.75" hidden="1" customHeight="1" outlineLevel="2">
      <c r="A19" s="19" t="s">
        <v>25</v>
      </c>
      <c r="B19" s="19"/>
      <c r="C19" s="217">
        <v>-50.2</v>
      </c>
      <c r="D19" s="217">
        <v>-47.7</v>
      </c>
      <c r="E19" s="217">
        <v>-41.3</v>
      </c>
      <c r="F19" s="217" t="s">
        <v>164</v>
      </c>
      <c r="G19" s="217" t="s">
        <v>164</v>
      </c>
      <c r="H19" s="217" t="s">
        <v>164</v>
      </c>
      <c r="I19" s="217" t="s">
        <v>164</v>
      </c>
      <c r="J19" s="217" t="s">
        <v>164</v>
      </c>
      <c r="K19" s="217" t="s">
        <v>164</v>
      </c>
    </row>
    <row r="20" spans="1:15" hidden="1" outlineLevel="2">
      <c r="C20" s="22"/>
      <c r="D20" s="22"/>
      <c r="E20" s="22"/>
      <c r="F20" s="22"/>
      <c r="G20" s="22"/>
      <c r="H20" s="22"/>
      <c r="I20" s="22"/>
      <c r="J20" s="22"/>
      <c r="K20" s="22"/>
    </row>
    <row r="21" spans="1:15" s="14" customFormat="1" ht="13" collapsed="1">
      <c r="A21" s="64" t="s">
        <v>340</v>
      </c>
      <c r="B21" s="64"/>
      <c r="C21" s="65">
        <f>IFERROR(C16+C19,"n.a.")</f>
        <v>876.4</v>
      </c>
      <c r="D21" s="65">
        <f>IFERROR(D16+D19,"n.a.")</f>
        <v>955</v>
      </c>
      <c r="E21" s="65">
        <f>IFERROR(E16+E19,"n.a.")</f>
        <v>917.30000000000007</v>
      </c>
      <c r="F21" s="208">
        <v>501.18</v>
      </c>
      <c r="G21" s="208">
        <v>815.78099999999995</v>
      </c>
      <c r="H21" s="208">
        <v>977.78300000000002</v>
      </c>
      <c r="I21" s="208">
        <v>1001.78650155166</v>
      </c>
      <c r="J21" s="208">
        <v>1060.5280307982798</v>
      </c>
      <c r="K21" s="208">
        <f>+[1]FY!$Q$41</f>
        <v>1081.3806527944701</v>
      </c>
      <c r="L21" s="2"/>
      <c r="M21" s="2"/>
      <c r="N21" s="2"/>
      <c r="O21" s="2"/>
    </row>
    <row r="22" spans="1:15">
      <c r="A22" s="199" t="s">
        <v>341</v>
      </c>
      <c r="B22" s="105"/>
      <c r="C22" s="31">
        <f t="shared" ref="C22:K22" si="5">IFERROR(C21/C7,"n.a.")</f>
        <v>0.16374342429276817</v>
      </c>
      <c r="D22" s="31">
        <f t="shared" si="5"/>
        <v>0.18384957524010173</v>
      </c>
      <c r="E22" s="31">
        <f t="shared" si="5"/>
        <v>0.17232591897920235</v>
      </c>
      <c r="F22" s="31">
        <f t="shared" si="5"/>
        <v>0.11649575524315739</v>
      </c>
      <c r="G22" s="31">
        <f t="shared" si="5"/>
        <v>0.15301297020510368</v>
      </c>
      <c r="H22" s="31">
        <f t="shared" si="5"/>
        <v>0.14779736082349562</v>
      </c>
      <c r="I22" s="31">
        <f t="shared" si="5"/>
        <v>0.15064156355886252</v>
      </c>
      <c r="J22" s="31">
        <f t="shared" si="5"/>
        <v>0.15657423911080268</v>
      </c>
      <c r="K22" s="31">
        <f t="shared" si="5"/>
        <v>0.15958615240122451</v>
      </c>
    </row>
    <row r="23" spans="1:15" ht="15" hidden="1" customHeight="1" outlineLevel="1">
      <c r="A23" s="19" t="s">
        <v>23</v>
      </c>
      <c r="B23" s="19"/>
      <c r="C23" s="23">
        <v>-109.6</v>
      </c>
      <c r="D23" s="23">
        <v>-114.6</v>
      </c>
      <c r="E23" s="23">
        <v>-114.6</v>
      </c>
      <c r="F23" s="23">
        <v>-114.6</v>
      </c>
      <c r="G23" s="23">
        <v>-113.7</v>
      </c>
      <c r="H23" s="23">
        <v>-113.70699999999999</v>
      </c>
      <c r="I23" s="23">
        <v>-113.70699999999999</v>
      </c>
      <c r="J23" s="23">
        <v>-113.70665</v>
      </c>
      <c r="K23" s="23">
        <f>+[1]FY!$Q$46</f>
        <v>-106.71277000000001</v>
      </c>
    </row>
    <row r="24" spans="1:15" ht="15" hidden="1" customHeight="1" outlineLevel="1">
      <c r="A24" s="16" t="s">
        <v>247</v>
      </c>
      <c r="B24" s="16"/>
      <c r="C24" s="24">
        <v>-93.2</v>
      </c>
      <c r="D24" s="24">
        <v>-137.30000000000001</v>
      </c>
      <c r="E24" s="212">
        <v>-59.994999999999997</v>
      </c>
      <c r="F24" s="212">
        <v>-167.44200000000001</v>
      </c>
      <c r="G24" s="212">
        <v>-124.98099999999999</v>
      </c>
      <c r="H24" s="212">
        <f>-68.598-4</f>
        <v>-72.597999999999999</v>
      </c>
      <c r="I24" s="212">
        <v>-79.751644914644601</v>
      </c>
      <c r="J24" s="212">
        <v>-43.832624253324198</v>
      </c>
      <c r="K24" s="44">
        <f>+[1]FY!$Q$47</f>
        <v>-83.4680094389565</v>
      </c>
    </row>
    <row r="25" spans="1:15" collapsed="1">
      <c r="C25" s="22"/>
      <c r="D25" s="22"/>
      <c r="E25" s="22"/>
      <c r="F25" s="22"/>
      <c r="G25" s="22"/>
      <c r="H25" s="22"/>
      <c r="I25" s="22"/>
      <c r="J25" s="22"/>
      <c r="K25" s="22"/>
    </row>
    <row r="26" spans="1:15" s="14" customFormat="1" ht="13">
      <c r="A26" s="18" t="s">
        <v>11</v>
      </c>
      <c r="B26" s="18"/>
      <c r="C26" s="29">
        <f t="shared" ref="C26:K26" si="6">IFERROR(C21+C23+C24,"n.a.")</f>
        <v>673.59999999999991</v>
      </c>
      <c r="D26" s="29">
        <f t="shared" si="6"/>
        <v>703.09999999999991</v>
      </c>
      <c r="E26" s="29">
        <f t="shared" si="6"/>
        <v>742.70500000000004</v>
      </c>
      <c r="F26" s="29">
        <f t="shared" si="6"/>
        <v>219.13800000000003</v>
      </c>
      <c r="G26" s="29">
        <f t="shared" si="6"/>
        <v>577.09999999999991</v>
      </c>
      <c r="H26" s="29">
        <f t="shared" si="6"/>
        <v>791.47800000000007</v>
      </c>
      <c r="I26" s="29">
        <f t="shared" si="6"/>
        <v>808.32785663701543</v>
      </c>
      <c r="J26" s="29">
        <f t="shared" si="6"/>
        <v>902.98875654495566</v>
      </c>
      <c r="K26" s="29">
        <f t="shared" si="6"/>
        <v>891.19987335551355</v>
      </c>
      <c r="L26" s="2"/>
      <c r="M26" s="2"/>
      <c r="N26" s="2"/>
      <c r="O26" s="2"/>
    </row>
    <row r="27" spans="1:15">
      <c r="C27" s="22"/>
      <c r="D27" s="22"/>
      <c r="E27" s="22"/>
      <c r="F27" s="22"/>
      <c r="G27" s="22"/>
      <c r="H27" s="22"/>
      <c r="I27" s="22"/>
      <c r="J27" s="22"/>
      <c r="K27" s="22"/>
    </row>
    <row r="28" spans="1:15" hidden="1" outlineLevel="1">
      <c r="A28" s="19" t="s">
        <v>16</v>
      </c>
      <c r="B28" s="19"/>
      <c r="C28" s="23">
        <v>-6.8550000000000004</v>
      </c>
      <c r="D28" s="23">
        <v>-4.9999999999999991</v>
      </c>
      <c r="E28" s="23">
        <v>-11.005000000000001</v>
      </c>
      <c r="F28" s="23">
        <v>-5.2709999999999999</v>
      </c>
      <c r="G28" s="23">
        <v>3.9780000000000002</v>
      </c>
      <c r="H28" s="23">
        <v>5.8470000000000004</v>
      </c>
      <c r="I28" s="23">
        <v>15.879725576918251</v>
      </c>
      <c r="J28" s="23">
        <v>31.388390763125798</v>
      </c>
      <c r="K28" s="23">
        <f>+[1]FY!$Q$53</f>
        <v>52.707732737007106</v>
      </c>
    </row>
    <row r="29" spans="1:15" hidden="1" outlineLevel="1">
      <c r="A29" s="16" t="s">
        <v>262</v>
      </c>
      <c r="B29" s="16"/>
      <c r="C29" s="24">
        <v>-362.61</v>
      </c>
      <c r="D29" s="24">
        <v>-196.30000000000007</v>
      </c>
      <c r="E29" s="212">
        <v>-109.479</v>
      </c>
      <c r="F29" s="24">
        <v>-156.429</v>
      </c>
      <c r="G29" s="24">
        <v>-144.28100000000001</v>
      </c>
      <c r="H29" s="24">
        <v>-201.69499999999999</v>
      </c>
      <c r="I29" s="24">
        <v>-194.1031650561693</v>
      </c>
      <c r="J29" s="24">
        <v>-286.58377267354388</v>
      </c>
      <c r="K29" s="24">
        <f>+[1]FY!$Q$54</f>
        <v>-183.74413514458416</v>
      </c>
    </row>
    <row r="30" spans="1:15" hidden="1" outlineLevel="1">
      <c r="A30" s="16" t="s">
        <v>263</v>
      </c>
      <c r="B30" s="16"/>
      <c r="C30" s="24">
        <v>-40.847999999999999</v>
      </c>
      <c r="D30" s="24">
        <v>-53</v>
      </c>
      <c r="E30" s="24">
        <v>-164.56200000000001</v>
      </c>
      <c r="F30" s="24">
        <v>-14.693</v>
      </c>
      <c r="G30" s="24">
        <v>-115.158</v>
      </c>
      <c r="H30" s="24">
        <v>-159.73400000000001</v>
      </c>
      <c r="I30" s="24">
        <v>-134.19818087089402</v>
      </c>
      <c r="J30" s="24">
        <v>-146.65420056539722</v>
      </c>
      <c r="K30" s="24">
        <f>+[1]FY!$Q$59</f>
        <v>-229.46592586071301</v>
      </c>
    </row>
    <row r="31" spans="1:15" collapsed="1">
      <c r="A31" s="27" t="s">
        <v>136</v>
      </c>
      <c r="B31" s="27"/>
      <c r="C31" s="28">
        <f t="shared" ref="C31:K31" si="7">IFERROR(C30/SUM(C26,C28,C29),"n.a.")</f>
        <v>-0.13430877735216273</v>
      </c>
      <c r="D31" s="28">
        <f t="shared" si="7"/>
        <v>-0.1056197688322041</v>
      </c>
      <c r="E31" s="28">
        <f t="shared" si="7"/>
        <v>-0.26447516236192609</v>
      </c>
      <c r="F31" s="28">
        <f t="shared" si="7"/>
        <v>-0.2558062606636719</v>
      </c>
      <c r="G31" s="28">
        <f t="shared" si="7"/>
        <v>-0.26364192061758673</v>
      </c>
      <c r="H31" s="28">
        <f t="shared" si="7"/>
        <v>-0.26817655255779593</v>
      </c>
      <c r="I31" s="28">
        <f t="shared" si="7"/>
        <v>-0.21297768626385258</v>
      </c>
      <c r="J31" s="28">
        <f t="shared" si="7"/>
        <v>-0.22639039901903041</v>
      </c>
      <c r="K31" s="28">
        <f t="shared" si="7"/>
        <v>-0.3018639208939693</v>
      </c>
    </row>
    <row r="32" spans="1:15" s="14" customFormat="1" ht="13">
      <c r="A32" s="18" t="s">
        <v>142</v>
      </c>
      <c r="B32" s="18"/>
      <c r="C32" s="29">
        <f t="shared" ref="C32:K32" si="8">IFERROR(C26+C28+C29+C30,"n.a.")</f>
        <v>263.28699999999986</v>
      </c>
      <c r="D32" s="29">
        <f t="shared" si="8"/>
        <v>448.79999999999984</v>
      </c>
      <c r="E32" s="29">
        <f t="shared" si="8"/>
        <v>457.65899999999999</v>
      </c>
      <c r="F32" s="29">
        <f t="shared" si="8"/>
        <v>42.745000000000047</v>
      </c>
      <c r="G32" s="29">
        <f t="shared" si="8"/>
        <v>321.63899999999984</v>
      </c>
      <c r="H32" s="29">
        <f t="shared" si="8"/>
        <v>435.89600000000007</v>
      </c>
      <c r="I32" s="29">
        <f t="shared" si="8"/>
        <v>495.90623628687035</v>
      </c>
      <c r="J32" s="29">
        <f t="shared" si="8"/>
        <v>501.13917406914038</v>
      </c>
      <c r="K32" s="29">
        <f t="shared" si="8"/>
        <v>530.69754508722349</v>
      </c>
    </row>
    <row r="33" spans="1:12" hidden="1" outlineLevel="1">
      <c r="A33" s="16" t="s">
        <v>143</v>
      </c>
      <c r="B33" s="16"/>
      <c r="C33" s="24">
        <v>-87.561999999999998</v>
      </c>
      <c r="D33" s="24">
        <v>-6.4089999999999998</v>
      </c>
      <c r="E33" s="24">
        <v>0</v>
      </c>
      <c r="F33" s="24">
        <v>0</v>
      </c>
      <c r="G33" s="24">
        <v>0</v>
      </c>
      <c r="H33" s="24">
        <v>0</v>
      </c>
      <c r="I33" s="24">
        <v>0</v>
      </c>
      <c r="J33" s="24">
        <v>0</v>
      </c>
      <c r="K33" s="24">
        <v>0</v>
      </c>
    </row>
    <row r="34" spans="1:12" s="14" customFormat="1" ht="13" collapsed="1">
      <c r="A34" s="18" t="s">
        <v>241</v>
      </c>
      <c r="B34" s="18"/>
      <c r="C34" s="29">
        <f t="shared" ref="C34:F34" si="9">IFERROR(C32+C33,"n.a.")</f>
        <v>175.72499999999985</v>
      </c>
      <c r="D34" s="29">
        <f t="shared" si="9"/>
        <v>442.39099999999985</v>
      </c>
      <c r="E34" s="29">
        <f t="shared" si="9"/>
        <v>457.65899999999999</v>
      </c>
      <c r="F34" s="29">
        <f t="shared" si="9"/>
        <v>42.745000000000047</v>
      </c>
      <c r="G34" s="29">
        <f>IFERROR(G32+G33,"n.a.")</f>
        <v>321.63899999999984</v>
      </c>
      <c r="H34" s="29">
        <f>IFERROR(H32+H33,"n.a.")</f>
        <v>435.89600000000007</v>
      </c>
      <c r="I34" s="29">
        <f>IFERROR(I32+I33,"n.a.")</f>
        <v>495.90623628687035</v>
      </c>
      <c r="J34" s="29">
        <f>IFERROR(J32+J33,"n.a.")</f>
        <v>501.13917406914038</v>
      </c>
      <c r="K34" s="29">
        <f>IFERROR(K32+K33,"n.a.")</f>
        <v>530.69754508722349</v>
      </c>
    </row>
    <row r="35" spans="1:12">
      <c r="A35" s="39" t="s">
        <v>24</v>
      </c>
      <c r="B35" s="39"/>
      <c r="C35" s="30">
        <v>-0.68500000000000005</v>
      </c>
      <c r="D35" s="30">
        <v>10.8</v>
      </c>
      <c r="E35" s="30">
        <v>19.600000000000001</v>
      </c>
      <c r="F35" s="30">
        <v>12.9</v>
      </c>
      <c r="G35" s="30">
        <v>18.8</v>
      </c>
      <c r="H35" s="30">
        <v>18.14</v>
      </c>
      <c r="I35" s="30">
        <v>16.806236286870401</v>
      </c>
      <c r="J35" s="30">
        <v>33.122660000000003</v>
      </c>
      <c r="K35" s="30">
        <f>-497.5+K34</f>
        <v>33.197545087223489</v>
      </c>
    </row>
    <row r="36" spans="1:12">
      <c r="C36" s="22"/>
      <c r="D36" s="22"/>
      <c r="E36" s="22"/>
      <c r="F36" s="22"/>
      <c r="G36" s="22"/>
      <c r="H36" s="22"/>
      <c r="I36" s="22"/>
      <c r="J36" s="22"/>
      <c r="K36" s="22"/>
    </row>
    <row r="37" spans="1:12" hidden="1" outlineLevel="1">
      <c r="A37" s="16" t="s">
        <v>168</v>
      </c>
      <c r="B37" s="16"/>
      <c r="C37" s="51">
        <f t="shared" ref="C37:K37" si="10">IFERROR(-(C23+C24),"n.a.")</f>
        <v>202.8</v>
      </c>
      <c r="D37" s="51">
        <f t="shared" si="10"/>
        <v>251.9</v>
      </c>
      <c r="E37" s="51">
        <f t="shared" si="10"/>
        <v>174.595</v>
      </c>
      <c r="F37" s="51">
        <f t="shared" si="10"/>
        <v>282.04200000000003</v>
      </c>
      <c r="G37" s="51">
        <f t="shared" si="10"/>
        <v>238.68099999999998</v>
      </c>
      <c r="H37" s="51">
        <f t="shared" si="10"/>
        <v>186.30500000000001</v>
      </c>
      <c r="I37" s="51">
        <f t="shared" si="10"/>
        <v>193.45864491464459</v>
      </c>
      <c r="J37" s="51">
        <f t="shared" si="10"/>
        <v>157.53927425332421</v>
      </c>
      <c r="K37" s="51">
        <f t="shared" si="10"/>
        <v>190.18077943895651</v>
      </c>
    </row>
    <row r="38" spans="1:12" hidden="1" outlineLevel="1">
      <c r="A38" s="16" t="s">
        <v>169</v>
      </c>
      <c r="B38" s="16"/>
      <c r="C38" s="24">
        <v>61.15</v>
      </c>
      <c r="D38" s="24">
        <v>2.1490000000000022</v>
      </c>
      <c r="E38" s="24">
        <v>-107.3</v>
      </c>
      <c r="F38" s="24">
        <v>0</v>
      </c>
      <c r="G38" s="24">
        <v>0</v>
      </c>
      <c r="H38" s="24">
        <v>0</v>
      </c>
      <c r="I38" s="24">
        <v>0</v>
      </c>
      <c r="J38" s="24">
        <v>0</v>
      </c>
      <c r="K38" s="24">
        <v>0</v>
      </c>
    </row>
    <row r="39" spans="1:12" hidden="1" outlineLevel="1">
      <c r="A39" s="16" t="s">
        <v>356</v>
      </c>
      <c r="B39" s="16"/>
      <c r="C39" s="24">
        <v>0</v>
      </c>
      <c r="D39" s="24">
        <v>0</v>
      </c>
      <c r="E39" s="24">
        <v>0</v>
      </c>
      <c r="F39" s="24">
        <v>0</v>
      </c>
      <c r="G39" s="24">
        <v>0</v>
      </c>
      <c r="H39" s="24">
        <v>0</v>
      </c>
      <c r="I39" s="24">
        <v>0</v>
      </c>
      <c r="J39" s="24">
        <v>0</v>
      </c>
      <c r="K39" s="24">
        <v>-45.6</v>
      </c>
    </row>
    <row r="40" spans="1:12" hidden="1" outlineLevel="1">
      <c r="A40" s="16" t="s">
        <v>27</v>
      </c>
      <c r="B40" s="16"/>
      <c r="C40" s="24">
        <v>-140.4</v>
      </c>
      <c r="D40" s="24">
        <v>-126.47799999999999</v>
      </c>
      <c r="E40" s="24">
        <v>-10.7</v>
      </c>
      <c r="F40" s="24">
        <v>-79.283000000000001</v>
      </c>
      <c r="G40" s="24">
        <v>-91.537999999999997</v>
      </c>
      <c r="H40" s="24">
        <v>-51.8</v>
      </c>
      <c r="I40" s="24">
        <v>-94</v>
      </c>
      <c r="J40" s="24">
        <v>-45.1</v>
      </c>
      <c r="K40" s="24">
        <v>-53.3</v>
      </c>
    </row>
    <row r="41" spans="1:12" s="14" customFormat="1" ht="13" collapsed="1">
      <c r="A41" s="64" t="s">
        <v>335</v>
      </c>
      <c r="B41" s="64"/>
      <c r="C41" s="65">
        <f t="shared" ref="C41:I41" si="11">IFERROR(C32+C37+C38+C40,"n.a.")</f>
        <v>386.83699999999988</v>
      </c>
      <c r="D41" s="65">
        <f t="shared" si="11"/>
        <v>576.37099999999987</v>
      </c>
      <c r="E41" s="65">
        <f t="shared" si="11"/>
        <v>514.25400000000002</v>
      </c>
      <c r="F41" s="65">
        <f t="shared" si="11"/>
        <v>245.50400000000008</v>
      </c>
      <c r="G41" s="65">
        <f t="shared" si="11"/>
        <v>468.78199999999981</v>
      </c>
      <c r="H41" s="65">
        <f t="shared" si="11"/>
        <v>570.40100000000007</v>
      </c>
      <c r="I41" s="65">
        <f t="shared" si="11"/>
        <v>595.36488120151489</v>
      </c>
      <c r="J41" s="65">
        <f>IFERROR(J32+J37+J38+J40,"n.a.")-0.1</f>
        <v>613.4784483224646</v>
      </c>
      <c r="K41" s="65">
        <f>IFERROR(K32+K37+K38+K39+K40,"n.a.")</f>
        <v>621.97832452618002</v>
      </c>
    </row>
    <row r="42" spans="1:12">
      <c r="A42" s="198" t="s">
        <v>338</v>
      </c>
      <c r="B42" s="106"/>
      <c r="C42" s="28">
        <f t="shared" ref="C42:K42" si="12">IFERROR(C41/C7,"n.a.")</f>
        <v>7.2275233937861186E-2</v>
      </c>
      <c r="D42" s="28">
        <f t="shared" si="12"/>
        <v>0.11095870526776194</v>
      </c>
      <c r="E42" s="28">
        <f t="shared" si="12"/>
        <v>9.6608844585992296E-2</v>
      </c>
      <c r="F42" s="28">
        <f t="shared" si="12"/>
        <v>5.7065672802618067E-2</v>
      </c>
      <c r="G42" s="28">
        <f t="shared" si="12"/>
        <v>8.7927674460043667E-2</v>
      </c>
      <c r="H42" s="28">
        <f t="shared" si="12"/>
        <v>8.6219296521910016E-2</v>
      </c>
      <c r="I42" s="28">
        <f t="shared" si="12"/>
        <v>8.952675690211194E-2</v>
      </c>
      <c r="J42" s="28">
        <f t="shared" si="12"/>
        <v>9.0572732136710604E-2</v>
      </c>
      <c r="K42" s="28">
        <f t="shared" si="12"/>
        <v>9.1789257956105388E-2</v>
      </c>
    </row>
    <row r="43" spans="1:12">
      <c r="C43" s="22"/>
      <c r="D43" s="22"/>
      <c r="E43" s="22"/>
      <c r="F43" s="22"/>
      <c r="G43" s="22"/>
      <c r="H43" s="22"/>
      <c r="I43" s="22"/>
      <c r="J43" s="22"/>
      <c r="K43" s="22"/>
    </row>
    <row r="44" spans="1:12" hidden="1" outlineLevel="1">
      <c r="A44" s="19" t="s">
        <v>28</v>
      </c>
      <c r="B44" s="19"/>
      <c r="C44" s="206">
        <f>-'Cash Flow - FY'!C8</f>
        <v>489.4</v>
      </c>
      <c r="D44" s="206">
        <f>-'Cash Flow - FY'!D8</f>
        <v>463.4</v>
      </c>
      <c r="E44" s="206">
        <f>-'Cash Flow - FY'!E8</f>
        <v>390.5</v>
      </c>
      <c r="F44" s="206">
        <f>-'Cash Flow - FY'!F8</f>
        <v>140</v>
      </c>
      <c r="G44" s="206">
        <f>-'Cash Flow - FY'!G8</f>
        <v>345.6</v>
      </c>
      <c r="H44" s="206">
        <f>-'Cash Flow - FY'!H8</f>
        <v>397.7</v>
      </c>
      <c r="I44" s="206">
        <f>-'Cash Flow - FY'!I8</f>
        <v>405.7</v>
      </c>
      <c r="J44" s="206">
        <f>-'Cash Flow - FY'!J8</f>
        <v>414.9</v>
      </c>
      <c r="K44" s="206">
        <f>-'Cash Flow - FY'!K8</f>
        <v>419.7</v>
      </c>
      <c r="L44" s="113"/>
    </row>
    <row r="45" spans="1:12" s="14" customFormat="1" ht="13" collapsed="1">
      <c r="A45" s="18" t="s">
        <v>336</v>
      </c>
      <c r="B45" s="18"/>
      <c r="C45" s="29">
        <f t="shared" ref="C45:K45" si="13">IFERROR(C11-C44,"n.a.")</f>
        <v>648.30000000000007</v>
      </c>
      <c r="D45" s="29">
        <f t="shared" si="13"/>
        <v>771.30000000000007</v>
      </c>
      <c r="E45" s="29">
        <f t="shared" si="13"/>
        <v>919.58500000000004</v>
      </c>
      <c r="F45" s="29">
        <f t="shared" si="13"/>
        <v>752.63400000000001</v>
      </c>
      <c r="G45" s="29">
        <f t="shared" si="13"/>
        <v>865.1149999999999</v>
      </c>
      <c r="H45" s="29">
        <f t="shared" si="13"/>
        <v>1010.646</v>
      </c>
      <c r="I45" s="29">
        <f t="shared" si="13"/>
        <v>1040.35614055166</v>
      </c>
      <c r="J45" s="29">
        <f t="shared" si="13"/>
        <v>1104.5999999999999</v>
      </c>
      <c r="K45" s="29">
        <f t="shared" si="13"/>
        <v>1128.5792637944899</v>
      </c>
    </row>
    <row r="46" spans="1:12">
      <c r="A46" s="200" t="s">
        <v>339</v>
      </c>
      <c r="B46" s="107"/>
      <c r="C46" s="35">
        <f t="shared" ref="C46:K46" si="14">IFERROR(C45/C11,"n.a.")</f>
        <v>0.56983387536257368</v>
      </c>
      <c r="D46" s="35">
        <f t="shared" si="14"/>
        <v>0.62468615858103183</v>
      </c>
      <c r="E46" s="35">
        <f t="shared" si="14"/>
        <v>0.7019277375132148</v>
      </c>
      <c r="F46" s="35">
        <f t="shared" si="14"/>
        <v>0.84316080274782279</v>
      </c>
      <c r="G46" s="35">
        <f t="shared" si="14"/>
        <v>0.71454884097413507</v>
      </c>
      <c r="H46" s="35">
        <f t="shared" si="14"/>
        <v>0.71761200727662089</v>
      </c>
      <c r="I46" s="35">
        <f t="shared" si="14"/>
        <v>0.71944381091232845</v>
      </c>
      <c r="J46" s="35">
        <f t="shared" si="14"/>
        <v>0.72694965449160898</v>
      </c>
      <c r="K46" s="35">
        <f t="shared" si="14"/>
        <v>0.72892487174993981</v>
      </c>
    </row>
    <row r="47" spans="1:12">
      <c r="C47" s="22"/>
      <c r="D47" s="22"/>
      <c r="E47" s="22"/>
      <c r="F47" s="22"/>
      <c r="G47" s="22"/>
      <c r="H47" s="22"/>
      <c r="I47" s="22"/>
      <c r="J47" s="22"/>
      <c r="K47" s="22"/>
    </row>
    <row r="48" spans="1:12" s="14" customFormat="1" ht="13">
      <c r="A48" s="18" t="s">
        <v>45</v>
      </c>
      <c r="B48" s="18"/>
      <c r="C48" s="36">
        <f>'Balance Sheet - FY'!C9</f>
        <v>3218.4949999999994</v>
      </c>
      <c r="D48" s="36">
        <f>'Balance Sheet - FY'!D9</f>
        <v>3180.1300000000006</v>
      </c>
      <c r="E48" s="36">
        <f>'Balance Sheet - FY'!E9</f>
        <v>3507.2249999999999</v>
      </c>
      <c r="F48" s="36">
        <f>'Balance Sheet - FY'!F9</f>
        <v>3258.375</v>
      </c>
      <c r="G48" s="36">
        <f>'Balance Sheet - FY'!G9</f>
        <v>2907.1159999999995</v>
      </c>
      <c r="H48" s="36">
        <f>'Balance Sheet - FY'!H9</f>
        <v>2552.6343339999999</v>
      </c>
      <c r="I48" s="36">
        <f>'Balance Sheet - FY'!I9</f>
        <v>2261.7275659999996</v>
      </c>
      <c r="J48" s="36">
        <f>'Balance Sheet - FY'!J9</f>
        <v>1925.7625419999999</v>
      </c>
      <c r="K48" s="36">
        <f>'Balance Sheet - FY'!K9</f>
        <v>1102.0131759999999</v>
      </c>
    </row>
    <row r="49" spans="1:11">
      <c r="A49" s="200" t="s">
        <v>337</v>
      </c>
      <c r="B49" s="34"/>
      <c r="C49" s="37" t="str">
        <f>IFERROR(C48/#REF!,"n.a.")</f>
        <v>n.a.</v>
      </c>
      <c r="D49" s="118" t="str">
        <f>IFERROR(D48/#REF!,"n.a.")</f>
        <v>n.a.</v>
      </c>
      <c r="E49" s="118">
        <f t="shared" ref="E49:K49" si="15">IFERROR(E48/E11,"n.a.")</f>
        <v>2.6770972875805765</v>
      </c>
      <c r="F49" s="118">
        <f t="shared" si="15"/>
        <v>3.650292281046879</v>
      </c>
      <c r="G49" s="118">
        <f t="shared" si="15"/>
        <v>2.4011563415006831</v>
      </c>
      <c r="H49" s="118">
        <f t="shared" si="15"/>
        <v>1.8125051187705292</v>
      </c>
      <c r="I49" s="118">
        <f t="shared" si="15"/>
        <v>1.5640662230009734</v>
      </c>
      <c r="J49" s="118">
        <f t="shared" si="15"/>
        <v>1.2673659374794339</v>
      </c>
      <c r="K49" s="118">
        <f t="shared" si="15"/>
        <v>0.71176641176425082</v>
      </c>
    </row>
    <row r="50" spans="1:11">
      <c r="C50" s="22"/>
      <c r="D50" s="22"/>
      <c r="E50" s="22"/>
      <c r="F50" s="22"/>
      <c r="G50" s="22"/>
      <c r="H50" s="22"/>
      <c r="I50" s="22"/>
      <c r="J50" s="22"/>
      <c r="K50" s="22"/>
    </row>
    <row r="51" spans="1:11" s="14" customFormat="1" ht="13">
      <c r="A51" s="18" t="s">
        <v>19</v>
      </c>
      <c r="B51" s="18"/>
      <c r="C51" s="21">
        <v>221.5</v>
      </c>
      <c r="D51" s="21">
        <v>219</v>
      </c>
      <c r="E51" s="21">
        <v>232.5</v>
      </c>
      <c r="F51" s="21">
        <v>194.6</v>
      </c>
      <c r="G51" s="21">
        <v>240.4</v>
      </c>
      <c r="H51" s="21">
        <v>263.89999999999998</v>
      </c>
      <c r="I51" s="21">
        <v>288.5</v>
      </c>
      <c r="J51" s="21">
        <v>289.5</v>
      </c>
      <c r="K51" s="21">
        <v>312.7</v>
      </c>
    </row>
    <row r="52" spans="1:11">
      <c r="A52" s="39" t="s">
        <v>95</v>
      </c>
      <c r="B52" s="39"/>
      <c r="C52" s="30">
        <v>199.9</v>
      </c>
      <c r="D52" s="30">
        <v>202.9</v>
      </c>
      <c r="E52" s="30">
        <v>215.7</v>
      </c>
      <c r="F52" s="30">
        <v>182.5</v>
      </c>
      <c r="G52" s="30">
        <v>225.1</v>
      </c>
      <c r="H52" s="30">
        <v>247.1</v>
      </c>
      <c r="I52" s="30">
        <v>269.39999999999998</v>
      </c>
      <c r="J52" s="30">
        <v>272.8</v>
      </c>
      <c r="K52" s="30">
        <v>299.5</v>
      </c>
    </row>
    <row r="53" spans="1:11">
      <c r="A53" s="196" t="s">
        <v>326</v>
      </c>
      <c r="B53" s="108"/>
      <c r="C53" s="31">
        <f t="shared" ref="C53:K53" si="16">IFERROR(C51/C7,"n.a.")</f>
        <v>4.1384263442318749E-2</v>
      </c>
      <c r="D53" s="31">
        <f t="shared" si="16"/>
        <v>4.2160269086473592E-2</v>
      </c>
      <c r="E53" s="31">
        <f t="shared" si="16"/>
        <v>4.3677941963005062E-2</v>
      </c>
      <c r="F53" s="31">
        <f t="shared" si="16"/>
        <v>4.523339712342557E-2</v>
      </c>
      <c r="G53" s="31">
        <f t="shared" si="16"/>
        <v>4.5090922732089769E-2</v>
      </c>
      <c r="H53" s="31">
        <f t="shared" si="16"/>
        <v>3.9889958734525444E-2</v>
      </c>
      <c r="I53" s="31">
        <f t="shared" si="16"/>
        <v>4.3382588025908532E-2</v>
      </c>
      <c r="J53" s="31">
        <f t="shared" si="16"/>
        <v>4.2741201464008394E-2</v>
      </c>
      <c r="K53" s="31">
        <f t="shared" si="16"/>
        <v>4.6147108076056466E-2</v>
      </c>
    </row>
    <row r="54" spans="1:11">
      <c r="A54" s="196" t="s">
        <v>327</v>
      </c>
      <c r="B54" s="108"/>
      <c r="C54" s="31">
        <f t="shared" ref="C54:K54" si="17">IFERROR(C52/C8,"n.a.")</f>
        <v>6.4919164436119087E-2</v>
      </c>
      <c r="D54" s="31">
        <f t="shared" si="17"/>
        <v>6.1300649321614199E-2</v>
      </c>
      <c r="E54" s="31">
        <f t="shared" si="17"/>
        <v>6.0933459927280983E-2</v>
      </c>
      <c r="F54" s="31">
        <f t="shared" si="17"/>
        <v>6.0234621276056423E-2</v>
      </c>
      <c r="G54" s="31">
        <f t="shared" si="17"/>
        <v>5.9582246660972248E-2</v>
      </c>
      <c r="H54" s="31">
        <f t="shared" si="17"/>
        <v>5.2671327294000432E-2</v>
      </c>
      <c r="I54" s="31">
        <f t="shared" si="17"/>
        <v>5.4207309595776097E-2</v>
      </c>
      <c r="J54" s="31">
        <f t="shared" si="17"/>
        <v>5.3221471340778051E-2</v>
      </c>
      <c r="K54" s="31">
        <f t="shared" si="17"/>
        <v>5.6194858408145268E-2</v>
      </c>
    </row>
    <row r="56" spans="1:11">
      <c r="C56" s="114"/>
      <c r="D56" s="114"/>
      <c r="E56" s="114"/>
      <c r="F56" s="114"/>
      <c r="G56" s="114"/>
      <c r="H56" s="114"/>
      <c r="I56" s="114"/>
      <c r="J56" s="114"/>
      <c r="K56" s="114"/>
    </row>
    <row r="57" spans="1:11" ht="24" customHeight="1">
      <c r="A57" s="227" t="s">
        <v>358</v>
      </c>
      <c r="B57" s="227"/>
      <c r="C57" s="227"/>
      <c r="D57" s="227"/>
      <c r="E57" s="227"/>
      <c r="F57" s="227"/>
      <c r="G57" s="227"/>
      <c r="H57" s="227"/>
      <c r="I57" s="227"/>
      <c r="J57" s="227"/>
      <c r="K57" s="2"/>
    </row>
    <row r="58" spans="1:11" ht="24" customHeight="1">
      <c r="A58" s="227" t="s">
        <v>359</v>
      </c>
      <c r="B58" s="227"/>
      <c r="C58" s="227"/>
      <c r="D58" s="227"/>
      <c r="E58" s="227"/>
      <c r="F58" s="227"/>
      <c r="G58" s="227"/>
      <c r="H58" s="227"/>
      <c r="I58" s="227"/>
      <c r="J58" s="227"/>
      <c r="K58" s="2"/>
    </row>
    <row r="59" spans="1:11" ht="12" customHeight="1">
      <c r="A59" s="227" t="s">
        <v>329</v>
      </c>
      <c r="B59" s="227"/>
      <c r="C59" s="227"/>
      <c r="D59" s="227"/>
      <c r="E59" s="227"/>
      <c r="F59" s="227"/>
      <c r="G59" s="227"/>
      <c r="H59" s="227"/>
      <c r="I59" s="227"/>
      <c r="J59" s="227"/>
      <c r="K59" s="2"/>
    </row>
    <row r="60" spans="1:11" ht="12" customHeight="1">
      <c r="A60" s="227" t="s">
        <v>330</v>
      </c>
      <c r="B60" s="227"/>
      <c r="C60" s="227"/>
      <c r="D60" s="227"/>
      <c r="E60" s="227"/>
      <c r="F60" s="227"/>
      <c r="G60" s="227"/>
      <c r="H60" s="227"/>
      <c r="I60" s="227"/>
      <c r="J60" s="227"/>
      <c r="K60" s="2"/>
    </row>
    <row r="61" spans="1:11" s="204" customFormat="1" ht="36" customHeight="1">
      <c r="A61" s="227" t="s">
        <v>331</v>
      </c>
      <c r="B61" s="227"/>
      <c r="C61" s="227"/>
      <c r="D61" s="227"/>
      <c r="E61" s="227"/>
      <c r="F61" s="227"/>
      <c r="G61" s="227"/>
      <c r="H61" s="227"/>
      <c r="I61" s="227"/>
      <c r="J61" s="227"/>
    </row>
    <row r="62" spans="1:11" ht="12" customHeight="1">
      <c r="A62" s="227" t="s">
        <v>332</v>
      </c>
      <c r="B62" s="227"/>
      <c r="C62" s="227"/>
      <c r="D62" s="227"/>
      <c r="E62" s="227"/>
      <c r="F62" s="227"/>
      <c r="G62" s="227"/>
      <c r="H62" s="227"/>
      <c r="I62" s="227"/>
      <c r="J62" s="227"/>
      <c r="K62" s="2"/>
    </row>
    <row r="64" spans="1:11">
      <c r="C64" s="114"/>
      <c r="D64" s="114"/>
      <c r="E64" s="114"/>
      <c r="F64" s="114"/>
      <c r="G64" s="114"/>
      <c r="H64" s="114"/>
      <c r="I64" s="114"/>
      <c r="J64" s="114"/>
      <c r="K64" s="114"/>
    </row>
  </sheetData>
  <mergeCells count="6">
    <mergeCell ref="A62:J62"/>
    <mergeCell ref="A57:J57"/>
    <mergeCell ref="A58:J58"/>
    <mergeCell ref="A59:J59"/>
    <mergeCell ref="A60:J60"/>
    <mergeCell ref="A61:J61"/>
  </mergeCells>
  <pageMargins left="0" right="0" top="0" bottom="0" header="0" footer="0"/>
  <pageSetup paperSize="9" scale="68" orientation="portrait" r:id="rId1"/>
  <ignoredErrors>
    <ignoredError sqref="E9"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2"/>
    <pageSetUpPr fitToPage="1"/>
  </sheetPr>
  <dimension ref="A1:BM50"/>
  <sheetViews>
    <sheetView showGridLines="0" zoomScaleNormal="100" zoomScaleSheetLayoutView="100" workbookViewId="0">
      <pane xSplit="2" ySplit="6" topLeftCell="AD7" activePane="bottomRight" state="frozen"/>
      <selection activeCell="AQ123" sqref="AQ123"/>
      <selection pane="topRight" activeCell="AQ123" sqref="AQ123"/>
      <selection pane="bottomLeft" activeCell="AQ123" sqref="AQ123"/>
      <selection pane="bottomRight"/>
    </sheetView>
  </sheetViews>
  <sheetFormatPr defaultColWidth="9.58203125" defaultRowHeight="12.5" outlineLevelRow="2" outlineLevelCol="2"/>
  <cols>
    <col min="1" max="1" width="42.58203125" style="2" customWidth="1"/>
    <col min="2" max="2" width="2.58203125" style="20" customWidth="1"/>
    <col min="3" max="4" width="9.58203125" style="20" hidden="1" customWidth="1" outlineLevel="1"/>
    <col min="5" max="5" width="9.58203125" style="20" hidden="1" customWidth="1" outlineLevel="2"/>
    <col min="6" max="6" width="9.58203125" style="20" hidden="1" customWidth="1" outlineLevel="1"/>
    <col min="7" max="7" width="9.58203125" style="20" hidden="1" customWidth="1" outlineLevel="2"/>
    <col min="8" max="8" width="9.58203125" style="20" hidden="1" customWidth="1" outlineLevel="1"/>
    <col min="9" max="9" width="9.58203125" style="20" hidden="1" customWidth="1" outlineLevel="2"/>
    <col min="10" max="11" width="9.58203125" style="20" hidden="1" customWidth="1" outlineLevel="1"/>
    <col min="12" max="12" width="9.58203125" style="20" hidden="1" customWidth="1" outlineLevel="2"/>
    <col min="13" max="14" width="9.58203125" style="20" hidden="1" customWidth="1" outlineLevel="1"/>
    <col min="15" max="15" width="9.58203125" style="20" hidden="1" customWidth="1" outlineLevel="1" collapsed="1"/>
    <col min="16" max="18" width="9.58203125" style="20" hidden="1" customWidth="1" outlineLevel="1"/>
    <col min="19" max="19" width="9.58203125" style="20" hidden="1" customWidth="1" outlineLevel="2"/>
    <col min="20" max="20" width="9.58203125" style="20" hidden="1" customWidth="1" outlineLevel="1"/>
    <col min="21" max="21" width="9.58203125" style="20" hidden="1" customWidth="1" outlineLevel="2"/>
    <col min="22" max="22" width="9.58203125" style="20" hidden="1" customWidth="1" outlineLevel="1"/>
    <col min="23" max="23" width="9.58203125" style="20" hidden="1" customWidth="1" outlineLevel="2"/>
    <col min="24" max="25" width="9.58203125" style="20" hidden="1" customWidth="1" outlineLevel="1"/>
    <col min="26" max="26" width="9.58203125" style="20" hidden="1" customWidth="1" outlineLevel="2"/>
    <col min="27" max="27" width="9.58203125" style="20" hidden="1" customWidth="1" outlineLevel="1"/>
    <col min="28" max="28" width="9.58203125" style="20" hidden="1" customWidth="1" outlineLevel="2"/>
    <col min="29" max="29" width="9.58203125" style="20" hidden="1" customWidth="1" outlineLevel="1"/>
    <col min="30" max="30" width="9.58203125" style="20" hidden="1" customWidth="1" outlineLevel="2"/>
    <col min="31" max="32" width="9.58203125" style="20" hidden="1" customWidth="1" outlineLevel="1"/>
    <col min="33" max="33" width="9.58203125" style="20" hidden="1" customWidth="1" outlineLevel="2"/>
    <col min="34" max="34" width="9.58203125" style="20" hidden="1" customWidth="1" outlineLevel="1"/>
    <col min="35" max="35" width="9.58203125" style="20" hidden="1" customWidth="1" outlineLevel="2"/>
    <col min="36" max="36" width="9.58203125" style="20" hidden="1" customWidth="1" outlineLevel="1"/>
    <col min="37" max="37" width="9.58203125" style="20" hidden="1" customWidth="1" outlineLevel="2"/>
    <col min="38" max="38" width="9.58203125" style="20" hidden="1" customWidth="1" outlineLevel="1"/>
    <col min="39" max="39" width="9.58203125" style="2" hidden="1" customWidth="1" outlineLevel="1"/>
    <col min="40" max="40" width="9.58203125" style="2" hidden="1" customWidth="1" outlineLevel="2"/>
    <col min="41" max="41" width="9.58203125" style="20" hidden="1" customWidth="1" outlineLevel="1"/>
    <col min="42" max="42" width="9.58203125" style="20" hidden="1" customWidth="1" outlineLevel="2"/>
    <col min="43" max="43" width="9.58203125" style="20" hidden="1" customWidth="1" outlineLevel="1"/>
    <col min="44" max="44" width="9.58203125" style="20" hidden="1" customWidth="1" outlineLevel="2"/>
    <col min="45" max="45" width="9.58203125" style="20" hidden="1" customWidth="1" outlineLevel="1"/>
    <col min="46" max="46" width="9.58203125" style="2" hidden="1" customWidth="1" outlineLevel="1"/>
    <col min="47" max="47" width="9.58203125" style="2" hidden="1" customWidth="1" outlineLevel="2"/>
    <col min="48" max="48" width="9.58203125" style="20" hidden="1" customWidth="1" outlineLevel="1"/>
    <col min="49" max="49" width="9.58203125" style="20" hidden="1" customWidth="1" outlineLevel="2"/>
    <col min="50" max="50" width="9.58203125" style="20" hidden="1" customWidth="1" outlineLevel="1"/>
    <col min="51" max="51" width="9.58203125" style="20" hidden="1" customWidth="1" outlineLevel="2"/>
    <col min="52" max="52" width="9.58203125" style="20" hidden="1" customWidth="1" outlineLevel="1"/>
    <col min="53" max="53" width="9.58203125" style="2" hidden="1" customWidth="1" outlineLevel="1"/>
    <col min="54" max="54" width="9.58203125" style="2" hidden="1" customWidth="1" outlineLevel="2"/>
    <col min="55" max="55" width="9.58203125" style="2" hidden="1" customWidth="1" outlineLevel="1"/>
    <col min="56" max="56" width="9.58203125" style="2" hidden="1" customWidth="1" outlineLevel="2"/>
    <col min="57" max="57" width="9.58203125" style="2" hidden="1" customWidth="1" outlineLevel="1"/>
    <col min="58" max="58" width="9.58203125" style="2" hidden="1" customWidth="1" outlineLevel="1" collapsed="1"/>
    <col min="59" max="59" width="9.58203125" style="20" collapsed="1"/>
    <col min="60" max="60" width="9.58203125" style="2"/>
    <col min="61" max="61" width="9.58203125" style="2" hidden="1" customWidth="1" outlineLevel="1"/>
    <col min="62" max="62" width="9.58203125" style="2" collapsed="1"/>
    <col min="63" max="63" width="9.83203125" style="2" hidden="1" customWidth="1" outlineLevel="1"/>
    <col min="64" max="65" width="9.58203125" style="2" collapsed="1"/>
    <col min="66" max="16384" width="9.58203125" style="2"/>
  </cols>
  <sheetData>
    <row r="1" spans="1:65" s="7" customFormat="1" ht="27.75" customHeight="1">
      <c r="A1" s="7" t="s">
        <v>149</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O1" s="8"/>
      <c r="AP1" s="8"/>
      <c r="AQ1" s="8"/>
      <c r="AR1" s="8"/>
      <c r="AS1" s="8"/>
      <c r="AV1" s="8"/>
      <c r="AW1" s="8"/>
      <c r="AX1" s="8"/>
      <c r="AY1" s="8"/>
      <c r="AZ1" s="8"/>
      <c r="BG1" s="8"/>
    </row>
    <row r="2" spans="1:65">
      <c r="A2" s="158" t="s">
        <v>146</v>
      </c>
      <c r="R2" s="153"/>
      <c r="S2" s="153"/>
      <c r="V2" s="153"/>
      <c r="Y2" s="153"/>
      <c r="Z2" s="153"/>
      <c r="AA2" s="153"/>
      <c r="AB2" s="153"/>
      <c r="AC2" s="153"/>
      <c r="AD2" s="153"/>
      <c r="AF2" s="153"/>
      <c r="AG2" s="153"/>
      <c r="AH2" s="153"/>
      <c r="AI2" s="153"/>
      <c r="AJ2" s="153"/>
      <c r="AK2" s="153"/>
      <c r="AL2" s="153"/>
      <c r="AO2" s="153"/>
      <c r="AP2" s="153"/>
      <c r="AQ2" s="153"/>
      <c r="AR2" s="153"/>
      <c r="AS2" s="153"/>
      <c r="AV2" s="153"/>
      <c r="AW2" s="153"/>
      <c r="AX2" s="153"/>
      <c r="AY2" s="153"/>
      <c r="AZ2" s="153"/>
      <c r="BG2" s="153"/>
    </row>
    <row r="4" spans="1:65" s="14" customFormat="1" ht="13.5" thickBot="1">
      <c r="A4" s="9" t="s">
        <v>118</v>
      </c>
      <c r="B4" s="10"/>
      <c r="C4" s="10" t="s">
        <v>134</v>
      </c>
      <c r="D4" s="10" t="s">
        <v>133</v>
      </c>
      <c r="E4" s="10" t="s">
        <v>132</v>
      </c>
      <c r="F4" s="10" t="s">
        <v>131</v>
      </c>
      <c r="G4" s="10" t="s">
        <v>97</v>
      </c>
      <c r="H4" s="10" t="s">
        <v>135</v>
      </c>
      <c r="I4" s="10" t="s">
        <v>130</v>
      </c>
      <c r="J4" s="10" t="s">
        <v>170</v>
      </c>
      <c r="K4" s="10" t="s">
        <v>178</v>
      </c>
      <c r="L4" s="10" t="s">
        <v>179</v>
      </c>
      <c r="M4" s="10" t="s">
        <v>191</v>
      </c>
      <c r="N4" s="10" t="s">
        <v>190</v>
      </c>
      <c r="O4" s="10" t="s">
        <v>193</v>
      </c>
      <c r="P4" s="10" t="s">
        <v>192</v>
      </c>
      <c r="Q4" s="10" t="s">
        <v>198</v>
      </c>
      <c r="R4" s="10" t="s">
        <v>215</v>
      </c>
      <c r="S4" s="10" t="s">
        <v>216</v>
      </c>
      <c r="T4" s="10" t="s">
        <v>220</v>
      </c>
      <c r="U4" s="10" t="s">
        <v>221</v>
      </c>
      <c r="V4" s="10" t="s">
        <v>223</v>
      </c>
      <c r="W4" s="10" t="s">
        <v>222</v>
      </c>
      <c r="X4" s="10" t="s">
        <v>235</v>
      </c>
      <c r="Y4" s="10" t="s">
        <v>239</v>
      </c>
      <c r="Z4" s="10" t="s">
        <v>240</v>
      </c>
      <c r="AA4" s="10" t="s">
        <v>242</v>
      </c>
      <c r="AB4" s="10" t="s">
        <v>243</v>
      </c>
      <c r="AC4" s="10" t="s">
        <v>245</v>
      </c>
      <c r="AD4" s="10" t="s">
        <v>244</v>
      </c>
      <c r="AE4" s="10" t="s">
        <v>271</v>
      </c>
      <c r="AF4" s="10" t="s">
        <v>276</v>
      </c>
      <c r="AG4" s="10" t="s">
        <v>277</v>
      </c>
      <c r="AH4" s="10" t="s">
        <v>280</v>
      </c>
      <c r="AI4" s="10" t="s">
        <v>281</v>
      </c>
      <c r="AJ4" s="10" t="s">
        <v>282</v>
      </c>
      <c r="AK4" s="10" t="s">
        <v>286</v>
      </c>
      <c r="AL4" s="10" t="s">
        <v>287</v>
      </c>
      <c r="AM4" s="10" t="s">
        <v>293</v>
      </c>
      <c r="AN4" s="10" t="s">
        <v>294</v>
      </c>
      <c r="AO4" s="10" t="s">
        <v>295</v>
      </c>
      <c r="AP4" s="10" t="s">
        <v>296</v>
      </c>
      <c r="AQ4" s="10" t="s">
        <v>298</v>
      </c>
      <c r="AR4" s="10" t="s">
        <v>297</v>
      </c>
      <c r="AS4" s="10" t="s">
        <v>299</v>
      </c>
      <c r="AT4" s="10" t="s">
        <v>300</v>
      </c>
      <c r="AU4" s="10" t="s">
        <v>301</v>
      </c>
      <c r="AV4" s="10" t="s">
        <v>302</v>
      </c>
      <c r="AW4" s="10" t="s">
        <v>303</v>
      </c>
      <c r="AX4" s="10" t="s">
        <v>306</v>
      </c>
      <c r="AY4" s="10" t="s">
        <v>305</v>
      </c>
      <c r="AZ4" s="10" t="s">
        <v>308</v>
      </c>
      <c r="BA4" s="10" t="s">
        <v>310</v>
      </c>
      <c r="BB4" s="10" t="s">
        <v>311</v>
      </c>
      <c r="BC4" s="10" t="s">
        <v>312</v>
      </c>
      <c r="BD4" s="10" t="s">
        <v>313</v>
      </c>
      <c r="BE4" s="10" t="s">
        <v>317</v>
      </c>
      <c r="BF4" s="10" t="s">
        <v>316</v>
      </c>
      <c r="BG4" s="10" t="s">
        <v>324</v>
      </c>
      <c r="BH4" s="10" t="s">
        <v>344</v>
      </c>
      <c r="BI4" s="10" t="s">
        <v>345</v>
      </c>
      <c r="BJ4" s="10" t="s">
        <v>347</v>
      </c>
      <c r="BK4" s="10" t="s">
        <v>348</v>
      </c>
      <c r="BL4" s="10" t="s">
        <v>352</v>
      </c>
      <c r="BM4" s="10" t="s">
        <v>351</v>
      </c>
    </row>
    <row r="5" spans="1:65">
      <c r="C5" s="20" t="s">
        <v>138</v>
      </c>
      <c r="D5" s="111" t="s">
        <v>182</v>
      </c>
      <c r="E5" s="111" t="s">
        <v>139</v>
      </c>
      <c r="F5" s="111" t="s">
        <v>183</v>
      </c>
      <c r="G5" s="20" t="s">
        <v>138</v>
      </c>
      <c r="H5" s="20" t="s">
        <v>138</v>
      </c>
      <c r="I5" s="20" t="s">
        <v>138</v>
      </c>
      <c r="J5" s="20" t="s">
        <v>138</v>
      </c>
      <c r="K5" s="20" t="s">
        <v>138</v>
      </c>
      <c r="L5" s="20" t="s">
        <v>138</v>
      </c>
      <c r="M5" s="20" t="s">
        <v>138</v>
      </c>
      <c r="N5" s="20" t="s">
        <v>138</v>
      </c>
      <c r="O5" s="20" t="s">
        <v>138</v>
      </c>
      <c r="P5" s="20" t="s">
        <v>138</v>
      </c>
      <c r="Q5" s="20" t="s">
        <v>138</v>
      </c>
      <c r="R5" s="20" t="s">
        <v>138</v>
      </c>
      <c r="S5" s="20" t="s">
        <v>138</v>
      </c>
      <c r="T5" s="20" t="s">
        <v>138</v>
      </c>
      <c r="U5" s="20" t="s">
        <v>138</v>
      </c>
      <c r="V5" s="20" t="s">
        <v>138</v>
      </c>
      <c r="W5" s="20" t="s">
        <v>138</v>
      </c>
      <c r="X5" s="20" t="s">
        <v>138</v>
      </c>
      <c r="Y5" s="20" t="s">
        <v>138</v>
      </c>
      <c r="Z5" s="20" t="s">
        <v>138</v>
      </c>
      <c r="AA5" s="20" t="s">
        <v>138</v>
      </c>
      <c r="AB5" s="20" t="s">
        <v>138</v>
      </c>
      <c r="AC5" s="20" t="s">
        <v>138</v>
      </c>
      <c r="AD5" s="20" t="s">
        <v>138</v>
      </c>
      <c r="AE5" s="20" t="s">
        <v>138</v>
      </c>
      <c r="AF5" s="20" t="s">
        <v>138</v>
      </c>
      <c r="AG5" s="20" t="s">
        <v>138</v>
      </c>
      <c r="AH5" s="20" t="s">
        <v>138</v>
      </c>
      <c r="AI5" s="20" t="s">
        <v>138</v>
      </c>
      <c r="AJ5" s="20" t="s">
        <v>138</v>
      </c>
      <c r="AK5" s="20" t="s">
        <v>138</v>
      </c>
      <c r="AL5" s="20" t="s">
        <v>138</v>
      </c>
      <c r="AM5" s="20" t="s">
        <v>138</v>
      </c>
      <c r="AN5" s="20" t="s">
        <v>138</v>
      </c>
      <c r="AO5" s="20" t="s">
        <v>138</v>
      </c>
      <c r="AP5" s="20" t="s">
        <v>138</v>
      </c>
      <c r="AQ5" s="20" t="s">
        <v>138</v>
      </c>
      <c r="AR5" s="20" t="s">
        <v>138</v>
      </c>
      <c r="AS5" s="20" t="s">
        <v>138</v>
      </c>
      <c r="AT5" s="20" t="s">
        <v>138</v>
      </c>
      <c r="AU5" s="20" t="s">
        <v>138</v>
      </c>
      <c r="AV5" s="20" t="s">
        <v>138</v>
      </c>
      <c r="AW5" s="20" t="s">
        <v>138</v>
      </c>
      <c r="AX5" s="20" t="s">
        <v>138</v>
      </c>
      <c r="AY5" s="20" t="s">
        <v>138</v>
      </c>
      <c r="AZ5" s="20" t="s">
        <v>138</v>
      </c>
      <c r="BA5" s="20" t="s">
        <v>138</v>
      </c>
      <c r="BB5" s="20" t="s">
        <v>138</v>
      </c>
      <c r="BC5" s="20" t="s">
        <v>138</v>
      </c>
      <c r="BD5" s="20" t="s">
        <v>138</v>
      </c>
      <c r="BE5" s="20" t="s">
        <v>138</v>
      </c>
      <c r="BF5" s="20" t="s">
        <v>138</v>
      </c>
      <c r="BG5" s="20" t="s">
        <v>138</v>
      </c>
      <c r="BH5" s="20" t="s">
        <v>138</v>
      </c>
      <c r="BI5" s="20" t="s">
        <v>138</v>
      </c>
      <c r="BJ5" s="20" t="s">
        <v>138</v>
      </c>
      <c r="BK5" s="20" t="s">
        <v>138</v>
      </c>
      <c r="BL5" s="20" t="s">
        <v>138</v>
      </c>
      <c r="BM5" s="20" t="s">
        <v>138</v>
      </c>
    </row>
    <row r="6" spans="1:65">
      <c r="AM6" s="20"/>
      <c r="AN6" s="20"/>
      <c r="AT6" s="20"/>
      <c r="AU6" s="20"/>
      <c r="BA6" s="20"/>
      <c r="BB6" s="20"/>
      <c r="BC6" s="20"/>
      <c r="BD6" s="20"/>
      <c r="BE6" s="20"/>
      <c r="BF6" s="20"/>
      <c r="BH6" s="20"/>
      <c r="BI6" s="20"/>
      <c r="BJ6" s="20"/>
      <c r="BK6" s="20"/>
      <c r="BL6" s="20"/>
      <c r="BM6" s="20"/>
    </row>
    <row r="7" spans="1:65" s="14" customFormat="1" ht="13">
      <c r="A7" s="64" t="s">
        <v>144</v>
      </c>
      <c r="B7" s="65"/>
      <c r="C7" s="66">
        <v>1339.3000000000002</v>
      </c>
      <c r="D7" s="67">
        <f>E7-C7</f>
        <v>1345.9999999999995</v>
      </c>
      <c r="E7" s="66">
        <v>2685.2999999999997</v>
      </c>
      <c r="F7" s="67">
        <f>G7-E7</f>
        <v>1353.2000000000003</v>
      </c>
      <c r="G7" s="66">
        <v>4038.5</v>
      </c>
      <c r="H7" s="67">
        <f>I7-G7</f>
        <v>1313.7759999999998</v>
      </c>
      <c r="I7" s="68">
        <f>'Fin. Highlights - FY'!C7</f>
        <v>5352.2759999999998</v>
      </c>
      <c r="J7" s="66">
        <v>1310.2639999999999</v>
      </c>
      <c r="K7" s="67">
        <f>IFERROR(L7-J7,"n.a.")</f>
        <v>1320.0360000000003</v>
      </c>
      <c r="L7" s="66">
        <v>2630.3</v>
      </c>
      <c r="M7" s="67">
        <f>IFERROR(N7-L7,"n.a.")</f>
        <v>1294.9000000000001</v>
      </c>
      <c r="N7" s="66">
        <v>3925.2000000000003</v>
      </c>
      <c r="O7" s="67">
        <f>IFERROR(P7-N7,"n.a.")</f>
        <v>1269.2640000000006</v>
      </c>
      <c r="P7" s="68">
        <f>'Fin. Highlights - FY'!D7</f>
        <v>5194.4640000000009</v>
      </c>
      <c r="Q7" s="66">
        <v>1313.8040000000001</v>
      </c>
      <c r="R7" s="67">
        <f>IFERROR(S7-Q7,"n.a.")</f>
        <v>1341.0389999999998</v>
      </c>
      <c r="S7" s="66">
        <v>2654.8429999999998</v>
      </c>
      <c r="T7" s="67">
        <f>IFERROR(U7-S7,"n.a.")</f>
        <v>1381.5410000000002</v>
      </c>
      <c r="U7" s="66">
        <v>4036.384</v>
      </c>
      <c r="V7" s="67">
        <f>IFERROR(W7-U7,"n.a.")</f>
        <v>1286.6689999999999</v>
      </c>
      <c r="W7" s="68">
        <f>'Fin. Highlights - FY'!E7</f>
        <v>5323.0529999999999</v>
      </c>
      <c r="X7" s="66">
        <v>1051.5719999999999</v>
      </c>
      <c r="Y7" s="67">
        <f>IFERROR(Z7-X7,"n.a.")</f>
        <v>764.8570000000002</v>
      </c>
      <c r="Z7" s="66">
        <v>1816.4290000000001</v>
      </c>
      <c r="AA7" s="67">
        <f>IFERROR(AB7-Z7,"n.a.")</f>
        <v>1277.4009999999998</v>
      </c>
      <c r="AB7" s="66">
        <v>3093.83</v>
      </c>
      <c r="AC7" s="67">
        <f>IFERROR(AD7-AB7,"n.a.")</f>
        <v>1208.3010000000004</v>
      </c>
      <c r="AD7" s="68">
        <f>'Fin. Highlights - FY'!F7</f>
        <v>4302.1310000000003</v>
      </c>
      <c r="AE7" s="66">
        <v>1244.7149999999999</v>
      </c>
      <c r="AF7" s="67">
        <f>IFERROR(AG7-AE7,"n.a.")</f>
        <v>1320.126</v>
      </c>
      <c r="AG7" s="66">
        <v>2564.8409999999999</v>
      </c>
      <c r="AH7" s="67">
        <f>IFERROR(AI7-AG7+0.05,"n.a.")</f>
        <v>1414.49</v>
      </c>
      <c r="AI7" s="66">
        <v>3979.2809999999999</v>
      </c>
      <c r="AJ7" s="67">
        <f>IFERROR(AK7-AI7,"n.a.")</f>
        <v>1352.1689999999999</v>
      </c>
      <c r="AK7" s="68">
        <f>'Fin. Highlights - FY'!G7</f>
        <v>5331.45</v>
      </c>
      <c r="AL7" s="66">
        <v>1521.0909999999999</v>
      </c>
      <c r="AM7" s="67">
        <f>IFERROR(AN7-AL7,"n.a.")</f>
        <v>1675.866</v>
      </c>
      <c r="AN7" s="66">
        <v>3196.9569999999999</v>
      </c>
      <c r="AO7" s="67">
        <f>IFERROR(AP7-AN7+0.05,"n.a.")</f>
        <v>1836.405</v>
      </c>
      <c r="AP7" s="66">
        <v>5033.3119999999999</v>
      </c>
      <c r="AQ7" s="67">
        <f>IFERROR(AR7-AP7,"n.a.")</f>
        <v>1582.3879999999999</v>
      </c>
      <c r="AR7" s="68">
        <f>'Fin. Highlights - FY'!H7</f>
        <v>6615.7</v>
      </c>
      <c r="AS7" s="67">
        <v>1699.74</v>
      </c>
      <c r="AT7" s="67">
        <f>IFERROR(AU7-AS7,"n.a.")</f>
        <v>1737.76</v>
      </c>
      <c r="AU7" s="66">
        <v>3437.5</v>
      </c>
      <c r="AV7" s="67">
        <f>IFERROR(AW7-AU7+0.05,"n.a.")</f>
        <v>1722.7809999999997</v>
      </c>
      <c r="AW7" s="66">
        <v>5160.2309999999998</v>
      </c>
      <c r="AX7" s="67">
        <f>IFERROR(AY7-AW7+0.05,"n.a.")</f>
        <v>1489.9524551019601</v>
      </c>
      <c r="AY7" s="66">
        <f>+'Fin. Highlights - FY'!I7</f>
        <v>6650.13345510196</v>
      </c>
      <c r="AZ7" s="67">
        <v>1695.53</v>
      </c>
      <c r="BA7" s="67">
        <f>IFERROR(BB7-AZ7,"n.a.")</f>
        <v>1751.97</v>
      </c>
      <c r="BB7" s="66">
        <v>3447.5</v>
      </c>
      <c r="BC7" s="67">
        <f>IFERROR(BD7-BB7,"n.a.")</f>
        <v>1737.0347607297981</v>
      </c>
      <c r="BD7" s="66">
        <v>5184.5347607297981</v>
      </c>
      <c r="BE7" s="67">
        <f>IFERROR(BF7-BD7,"n.a.")</f>
        <v>1588.7891067282289</v>
      </c>
      <c r="BF7" s="67">
        <f>+'Fin. Highlights - FY'!J7</f>
        <v>6773.3238674580271</v>
      </c>
      <c r="BG7" s="67">
        <v>1758.6398871935201</v>
      </c>
      <c r="BH7" s="67">
        <f>IFERROR(BI7-BG7,"n.a.")</f>
        <v>1739.9501128064801</v>
      </c>
      <c r="BI7" s="66">
        <v>3498.59</v>
      </c>
      <c r="BJ7" s="67">
        <f>IFERROR(BK7-BI7,"n.a.")</f>
        <v>1696.6059999999998</v>
      </c>
      <c r="BK7" s="66">
        <v>5195.1959999999999</v>
      </c>
      <c r="BL7" s="67">
        <f>IFERROR(BM7-BK7,"n.a.")</f>
        <v>1580.9599290915803</v>
      </c>
      <c r="BM7" s="66">
        <f>+'Fin. Highlights - FY'!K7</f>
        <v>6776.1559290915802</v>
      </c>
    </row>
    <row r="8" spans="1:65">
      <c r="A8" s="39" t="s">
        <v>13</v>
      </c>
      <c r="B8" s="30"/>
      <c r="C8" s="30">
        <v>775.38</v>
      </c>
      <c r="D8" s="50">
        <f>E8-C8</f>
        <v>786.89</v>
      </c>
      <c r="E8" s="30">
        <v>1562.27</v>
      </c>
      <c r="F8" s="50">
        <f>G8-E8</f>
        <v>782.52799999999979</v>
      </c>
      <c r="G8" s="30">
        <v>2344.7979999999998</v>
      </c>
      <c r="H8" s="50">
        <f>I8-G8</f>
        <v>734.41600000000017</v>
      </c>
      <c r="I8" s="47">
        <f>'Fin. Highlights - FY'!C8</f>
        <v>3079.2139999999999</v>
      </c>
      <c r="J8" s="30">
        <v>833.87400000000002</v>
      </c>
      <c r="K8" s="50">
        <f>IFERROR(L8-J8,"n.a.")</f>
        <v>849.82600000000002</v>
      </c>
      <c r="L8" s="30">
        <v>1683.7</v>
      </c>
      <c r="M8" s="50">
        <f>IFERROR(N8-L8,"n.a.")</f>
        <v>846.14200000000005</v>
      </c>
      <c r="N8" s="30">
        <v>2529.8420000000001</v>
      </c>
      <c r="O8" s="50">
        <f>IFERROR(P8-N8,"n.a.")</f>
        <v>780.07400000000007</v>
      </c>
      <c r="P8" s="47">
        <f>'Fin. Highlights - FY'!D8</f>
        <v>3309.9160000000002</v>
      </c>
      <c r="Q8" s="30">
        <v>895.024</v>
      </c>
      <c r="R8" s="50">
        <f>IFERROR(S8-Q8,"n.a.")</f>
        <v>892.60600000000011</v>
      </c>
      <c r="S8" s="30">
        <v>1787.63</v>
      </c>
      <c r="T8" s="50">
        <f>IFERROR(U8-S8,"n.a.")</f>
        <v>932.28800000000001</v>
      </c>
      <c r="U8" s="30">
        <v>2719.9180000000001</v>
      </c>
      <c r="V8" s="50">
        <f>IFERROR(W8-U8,"n.a.")</f>
        <v>820.00900000000001</v>
      </c>
      <c r="W8" s="47">
        <f>'Fin. Highlights - FY'!E8</f>
        <v>3539.9270000000001</v>
      </c>
      <c r="X8" s="30">
        <v>732.23599999999999</v>
      </c>
      <c r="Y8" s="50">
        <f>IFERROR(Z8-X8,"n.a.")</f>
        <v>553.44099999999992</v>
      </c>
      <c r="Z8" s="30">
        <v>1285.6769999999999</v>
      </c>
      <c r="AA8" s="50">
        <f>IFERROR(AB8-Z8,"n.a.")</f>
        <v>917.67699999999991</v>
      </c>
      <c r="AB8" s="30">
        <v>2203.3539999999998</v>
      </c>
      <c r="AC8" s="50">
        <f>IFERROR(AD8-AB8,"n.a.")</f>
        <v>826.46500000000015</v>
      </c>
      <c r="AD8" s="47">
        <f>'Fin. Highlights - FY'!F8</f>
        <v>3029.819</v>
      </c>
      <c r="AE8" s="30">
        <v>903.81500000000005</v>
      </c>
      <c r="AF8" s="50">
        <f>IFERROR(AG8-AE8,"n.a.")</f>
        <v>940.452</v>
      </c>
      <c r="AG8" s="30">
        <v>1844.2670000000001</v>
      </c>
      <c r="AH8" s="50">
        <f>IFERROR(AI8-AG8,"n.a.")</f>
        <v>997.39099999999985</v>
      </c>
      <c r="AI8" s="30">
        <v>2841.6579999999999</v>
      </c>
      <c r="AJ8" s="50">
        <f>IFERROR(AK8-AI8,"n.a.")</f>
        <v>936.3130000000001</v>
      </c>
      <c r="AK8" s="47">
        <f>'Fin. Highlights - FY'!G8</f>
        <v>3777.971</v>
      </c>
      <c r="AL8" s="30">
        <v>1121.3230000000001</v>
      </c>
      <c r="AM8" s="50">
        <f>IFERROR(AN8-AL8,"n.a.")</f>
        <v>1187.6859999999999</v>
      </c>
      <c r="AN8" s="30">
        <v>2309.009</v>
      </c>
      <c r="AO8" s="50">
        <f>IFERROR(AP8-AN8,"n.a.")</f>
        <v>1284.9809999999998</v>
      </c>
      <c r="AP8" s="30">
        <v>3593.99</v>
      </c>
      <c r="AQ8" s="50">
        <f>IFERROR(AR8-AP8,"n.a.")</f>
        <v>1097.3670000000002</v>
      </c>
      <c r="AR8" s="47">
        <f>'Fin. Highlights - FY'!H8</f>
        <v>4691.357</v>
      </c>
      <c r="AS8" s="50">
        <v>1277.1500000000001</v>
      </c>
      <c r="AT8" s="50">
        <f>IFERROR(AU8-AS8,"n.a.")</f>
        <v>1281.83</v>
      </c>
      <c r="AU8" s="30">
        <v>2558.98</v>
      </c>
      <c r="AV8" s="50">
        <f>IFERROR(AW8-AU8,"n.a.")</f>
        <v>1272.5735732690505</v>
      </c>
      <c r="AW8" s="30">
        <v>3831.5535732690505</v>
      </c>
      <c r="AX8" s="50">
        <f>IFERROR(AY8-AW8,"n.a.")</f>
        <v>1138.2558861731495</v>
      </c>
      <c r="AY8" s="30">
        <f>+'Fin. Highlights - FY'!I8</f>
        <v>4969.8094594422</v>
      </c>
      <c r="AZ8" s="50">
        <v>1310</v>
      </c>
      <c r="BA8" s="50">
        <f>IFERROR(BB8-AZ8,"n.a.")</f>
        <v>1351.27</v>
      </c>
      <c r="BB8" s="30">
        <v>2661.27</v>
      </c>
      <c r="BC8" s="50">
        <f>IFERROR(BD8-BB8,"n.a.")</f>
        <v>1302.0335950765857</v>
      </c>
      <c r="BD8" s="30">
        <v>3963.3035950765857</v>
      </c>
      <c r="BE8" s="50">
        <f>IFERROR(BF8-BD8,"n.a.")</f>
        <v>1162.4472180352245</v>
      </c>
      <c r="BF8" s="50">
        <f>+'Fin. Highlights - FY'!J8</f>
        <v>5125.7508131118102</v>
      </c>
      <c r="BG8" s="50">
        <v>1423.52</v>
      </c>
      <c r="BH8" s="50">
        <f>IFERROR(BI8-BG8,"n.a.")</f>
        <v>1363.3200000000002</v>
      </c>
      <c r="BI8" s="30">
        <v>2786.84</v>
      </c>
      <c r="BJ8" s="50">
        <f>IFERROR(BK8-BI8,"n.a.")</f>
        <v>1323.2129693453453</v>
      </c>
      <c r="BK8" s="30">
        <v>4110.0529693453454</v>
      </c>
      <c r="BL8" s="50">
        <f>IFERROR(BM8-BK8,"n.a.")</f>
        <v>1219.6161228822884</v>
      </c>
      <c r="BM8" s="30">
        <f>+'Fin. Highlights - FY'!K8</f>
        <v>5329.6690922276339</v>
      </c>
    </row>
    <row r="9" spans="1:65">
      <c r="A9" s="16" t="s">
        <v>12</v>
      </c>
      <c r="B9" s="24"/>
      <c r="C9" s="51">
        <f t="shared" ref="C9:N9" si="0">IFERROR(C7-C8,"n.a.")</f>
        <v>563.92000000000019</v>
      </c>
      <c r="D9" s="51">
        <f t="shared" si="0"/>
        <v>559.10999999999956</v>
      </c>
      <c r="E9" s="51">
        <f t="shared" si="0"/>
        <v>1123.0299999999997</v>
      </c>
      <c r="F9" s="51">
        <f t="shared" si="0"/>
        <v>570.67200000000048</v>
      </c>
      <c r="G9" s="51">
        <f t="shared" si="0"/>
        <v>1693.7020000000002</v>
      </c>
      <c r="H9" s="51">
        <f t="shared" si="0"/>
        <v>579.35999999999967</v>
      </c>
      <c r="I9" s="51">
        <f t="shared" si="0"/>
        <v>2273.0619999999999</v>
      </c>
      <c r="J9" s="51">
        <f t="shared" si="0"/>
        <v>476.38999999999987</v>
      </c>
      <c r="K9" s="51">
        <f t="shared" si="0"/>
        <v>470.21000000000026</v>
      </c>
      <c r="L9" s="51">
        <f t="shared" si="0"/>
        <v>946.60000000000014</v>
      </c>
      <c r="M9" s="51">
        <f t="shared" si="0"/>
        <v>448.75800000000004</v>
      </c>
      <c r="N9" s="51">
        <f t="shared" si="0"/>
        <v>1395.3580000000002</v>
      </c>
      <c r="O9" s="51">
        <f>IFERROR(O7-O8,"n.a.")+0.1</f>
        <v>489.29000000000053</v>
      </c>
      <c r="P9" s="51">
        <f>IFERROR(P7-P8,"n.a.")+0.1</f>
        <v>1884.6480000000006</v>
      </c>
      <c r="Q9" s="51">
        <f t="shared" ref="Q9:AR9" si="1">IFERROR(Q7-Q8,"n.a.")</f>
        <v>418.78000000000009</v>
      </c>
      <c r="R9" s="51">
        <f t="shared" si="1"/>
        <v>448.43299999999965</v>
      </c>
      <c r="S9" s="51">
        <f t="shared" si="1"/>
        <v>867.21299999999974</v>
      </c>
      <c r="T9" s="51">
        <f t="shared" si="1"/>
        <v>449.25300000000016</v>
      </c>
      <c r="U9" s="51">
        <f t="shared" si="1"/>
        <v>1316.4659999999999</v>
      </c>
      <c r="V9" s="51">
        <f t="shared" si="1"/>
        <v>466.65999999999985</v>
      </c>
      <c r="W9" s="51">
        <f t="shared" si="1"/>
        <v>1783.1259999999997</v>
      </c>
      <c r="X9" s="51">
        <f t="shared" si="1"/>
        <v>319.3359999999999</v>
      </c>
      <c r="Y9" s="51">
        <f t="shared" si="1"/>
        <v>211.41600000000028</v>
      </c>
      <c r="Z9" s="51">
        <f t="shared" si="1"/>
        <v>530.75200000000018</v>
      </c>
      <c r="AA9" s="51">
        <f t="shared" si="1"/>
        <v>359.72399999999993</v>
      </c>
      <c r="AB9" s="51">
        <f t="shared" si="1"/>
        <v>890.47600000000011</v>
      </c>
      <c r="AC9" s="51">
        <f t="shared" si="1"/>
        <v>381.83600000000024</v>
      </c>
      <c r="AD9" s="51">
        <f t="shared" si="1"/>
        <v>1272.3120000000004</v>
      </c>
      <c r="AE9" s="51">
        <f t="shared" si="1"/>
        <v>340.89999999999986</v>
      </c>
      <c r="AF9" s="51">
        <f t="shared" si="1"/>
        <v>379.67399999999998</v>
      </c>
      <c r="AG9" s="51">
        <f t="shared" si="1"/>
        <v>720.57399999999984</v>
      </c>
      <c r="AH9" s="51">
        <f t="shared" si="1"/>
        <v>417.09900000000016</v>
      </c>
      <c r="AI9" s="51">
        <f t="shared" si="1"/>
        <v>1137.623</v>
      </c>
      <c r="AJ9" s="51">
        <f t="shared" si="1"/>
        <v>415.85599999999977</v>
      </c>
      <c r="AK9" s="51">
        <f t="shared" si="1"/>
        <v>1553.4789999999998</v>
      </c>
      <c r="AL9" s="51">
        <f t="shared" si="1"/>
        <v>399.7679999999998</v>
      </c>
      <c r="AM9" s="51">
        <f t="shared" si="1"/>
        <v>488.18000000000006</v>
      </c>
      <c r="AN9" s="51">
        <f t="shared" si="1"/>
        <v>887.94799999999987</v>
      </c>
      <c r="AO9" s="51">
        <f t="shared" si="1"/>
        <v>551.42400000000021</v>
      </c>
      <c r="AP9" s="51">
        <f t="shared" si="1"/>
        <v>1439.3220000000001</v>
      </c>
      <c r="AQ9" s="51">
        <f t="shared" si="1"/>
        <v>485.02099999999973</v>
      </c>
      <c r="AR9" s="51">
        <f t="shared" si="1"/>
        <v>1924.3429999999998</v>
      </c>
      <c r="AS9" s="51">
        <f>IFERROR(AS7-AS8-0.1,"n.a.")</f>
        <v>422.4899999999999</v>
      </c>
      <c r="AT9" s="51">
        <f t="shared" ref="AT9:AY9" si="2">IFERROR(AT7-AT8,"n.a.")</f>
        <v>455.93000000000006</v>
      </c>
      <c r="AU9" s="51">
        <f t="shared" si="2"/>
        <v>878.52</v>
      </c>
      <c r="AV9" s="51">
        <f t="shared" si="2"/>
        <v>450.20742673094924</v>
      </c>
      <c r="AW9" s="51">
        <f t="shared" si="2"/>
        <v>1328.6774267309493</v>
      </c>
      <c r="AX9" s="51">
        <f t="shared" si="2"/>
        <v>351.69656892881062</v>
      </c>
      <c r="AY9" s="51">
        <f t="shared" si="2"/>
        <v>1680.3239956597599</v>
      </c>
      <c r="AZ9" s="51">
        <f>IFERROR(AZ7-AZ8,"n.a.")</f>
        <v>385.53</v>
      </c>
      <c r="BA9" s="51">
        <f t="shared" ref="BA9:BD9" si="3">IFERROR(BA7-BA8,"n.a.")</f>
        <v>400.70000000000005</v>
      </c>
      <c r="BB9" s="51">
        <f t="shared" si="3"/>
        <v>786.23</v>
      </c>
      <c r="BC9" s="51">
        <f t="shared" si="3"/>
        <v>435.00116565321241</v>
      </c>
      <c r="BD9" s="51">
        <f t="shared" si="3"/>
        <v>1221.2311656532124</v>
      </c>
      <c r="BE9" s="51">
        <f t="shared" ref="BE9" si="4">IFERROR(BE7-BE8,"n.a.")</f>
        <v>426.34188869300442</v>
      </c>
      <c r="BF9" s="51">
        <f t="shared" ref="BF9" si="5">IFERROR(BF7-BF8,"n.a.")</f>
        <v>1647.5730543462168</v>
      </c>
      <c r="BG9" s="51">
        <f>IFERROR(BG7-BG8,"n.a.")</f>
        <v>335.11988719352007</v>
      </c>
      <c r="BH9" s="51">
        <f t="shared" ref="BH9:BI9" si="6">IFERROR(BH7-BH8,"n.a.")</f>
        <v>376.63011280647993</v>
      </c>
      <c r="BI9" s="51">
        <f t="shared" si="6"/>
        <v>711.75</v>
      </c>
      <c r="BJ9" s="51">
        <f t="shared" ref="BJ9:BK9" si="7">IFERROR(BJ7-BJ8,"n.a.")</f>
        <v>373.39303065465447</v>
      </c>
      <c r="BK9" s="51">
        <f t="shared" si="7"/>
        <v>1085.1430306546545</v>
      </c>
      <c r="BL9" s="51">
        <f t="shared" ref="BL9" si="8">IFERROR(BL7-BL8,"n.a.")</f>
        <v>361.34380620929187</v>
      </c>
      <c r="BM9" s="51">
        <f t="shared" ref="BM9" si="9">IFERROR(BM7-BM8,"n.a.")</f>
        <v>1446.4868368639463</v>
      </c>
    </row>
    <row r="10" spans="1:65">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146"/>
      <c r="AF10" s="42"/>
      <c r="AG10" s="42"/>
      <c r="AH10" s="42"/>
      <c r="AI10" s="42"/>
      <c r="AJ10" s="42"/>
      <c r="AK10" s="42"/>
      <c r="AL10" s="146"/>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row>
    <row r="11" spans="1:65" s="14" customFormat="1" ht="13">
      <c r="A11" s="64" t="s">
        <v>160</v>
      </c>
      <c r="B11" s="65"/>
      <c r="C11" s="66">
        <v>270.40000000000003</v>
      </c>
      <c r="D11" s="67">
        <f>E11-C11</f>
        <v>275.99999999999994</v>
      </c>
      <c r="E11" s="66">
        <v>546.4</v>
      </c>
      <c r="F11" s="67">
        <f>G11-E11</f>
        <v>289.90000000000009</v>
      </c>
      <c r="G11" s="66">
        <v>836.30000000000007</v>
      </c>
      <c r="H11" s="67">
        <f>I11-G11</f>
        <v>301.39999999999998</v>
      </c>
      <c r="I11" s="68">
        <f>'Fin. Highlights - FY'!C11</f>
        <v>1137.7</v>
      </c>
      <c r="J11" s="66">
        <v>288.10000000000002</v>
      </c>
      <c r="K11" s="67">
        <f>IFERROR(L11-J11,"n.a.")</f>
        <v>299.79999999999995</v>
      </c>
      <c r="L11" s="66">
        <v>587.9</v>
      </c>
      <c r="M11" s="67">
        <f>IFERROR(N11-L11,"n.a.")</f>
        <v>319.79999999999995</v>
      </c>
      <c r="N11" s="66">
        <v>907.69999999999993</v>
      </c>
      <c r="O11" s="67">
        <f>IFERROR(P11-N11,"n.a.")</f>
        <v>327.00000000000011</v>
      </c>
      <c r="P11" s="68">
        <f>'Fin. Highlights - FY'!D11</f>
        <v>1234.7</v>
      </c>
      <c r="Q11" s="66">
        <v>315.58999999999997</v>
      </c>
      <c r="R11" s="67">
        <f>IFERROR(S11-Q11,"n.a.")</f>
        <v>320.51000000000005</v>
      </c>
      <c r="S11" s="66">
        <v>636.1</v>
      </c>
      <c r="T11" s="67">
        <f>IFERROR(U11-S11,"n.a.")</f>
        <v>342.4</v>
      </c>
      <c r="U11" s="66">
        <v>978.5</v>
      </c>
      <c r="V11" s="67">
        <f>IFERROR(W11-U11,"n.a.")</f>
        <v>331.58500000000004</v>
      </c>
      <c r="W11" s="68">
        <f>'Fin. Highlights - FY'!E11</f>
        <v>1310.085</v>
      </c>
      <c r="X11" s="66">
        <v>244.22800000000001</v>
      </c>
      <c r="Y11" s="67">
        <f>IFERROR(Z11-X11,"n.a.")</f>
        <v>23.658000000000015</v>
      </c>
      <c r="Z11" s="66">
        <v>267.88600000000002</v>
      </c>
      <c r="AA11" s="67">
        <f>IFERROR(AB11-Z11,"n.a.")</f>
        <v>309.39299999999997</v>
      </c>
      <c r="AB11" s="66">
        <v>577.279</v>
      </c>
      <c r="AC11" s="67">
        <f>IFERROR(AD11-AB11,"n.a.")</f>
        <v>315.35500000000002</v>
      </c>
      <c r="AD11" s="68">
        <f>'Fin. Highlights - FY'!F11</f>
        <v>892.63400000000001</v>
      </c>
      <c r="AE11" s="66">
        <v>266.48200000000003</v>
      </c>
      <c r="AF11" s="67">
        <f>IFERROR(AG11-AE11,"n.a.")</f>
        <v>307.39799999999997</v>
      </c>
      <c r="AG11" s="66">
        <v>573.88</v>
      </c>
      <c r="AH11" s="67">
        <f>IFERROR(AI11-AG11,"n.a.")</f>
        <v>320.15999999999997</v>
      </c>
      <c r="AI11" s="66">
        <v>894.04</v>
      </c>
      <c r="AJ11" s="67">
        <f>IFERROR(AK11-AI11,"n.a.")</f>
        <v>316.67499999999995</v>
      </c>
      <c r="AK11" s="68">
        <f>'Fin. Highlights - FY'!G11</f>
        <v>1210.7149999999999</v>
      </c>
      <c r="AL11" s="66">
        <v>333.05099999999999</v>
      </c>
      <c r="AM11" s="67">
        <f>IFERROR(AN11-AL11,"n.a.")</f>
        <v>362.209</v>
      </c>
      <c r="AN11" s="66">
        <v>695.26</v>
      </c>
      <c r="AO11" s="67">
        <f>IFERROR(AP11-AN11,"n.a.")</f>
        <v>383.89100000000008</v>
      </c>
      <c r="AP11" s="66">
        <v>1079.1510000000001</v>
      </c>
      <c r="AQ11" s="67">
        <f>IFERROR(AR11-AP11,"n.a.")</f>
        <v>329.19499999999994</v>
      </c>
      <c r="AR11" s="68">
        <f>'Fin. Highlights - FY'!H11</f>
        <v>1408.346</v>
      </c>
      <c r="AS11" s="67">
        <v>359.7</v>
      </c>
      <c r="AT11" s="67">
        <f>IFERROR(AU11-AS11,"n.a.")</f>
        <v>379.39999999999992</v>
      </c>
      <c r="AU11" s="66">
        <v>739.09999999999991</v>
      </c>
      <c r="AV11" s="67">
        <f>IFERROR(AW11-AU11,"n.a.")</f>
        <v>376.74887913619818</v>
      </c>
      <c r="AW11" s="66">
        <v>1115.8488791361981</v>
      </c>
      <c r="AX11" s="67">
        <f>IFERROR(AY11-AW11,"n.a.")</f>
        <v>330.20726141546197</v>
      </c>
      <c r="AY11" s="66">
        <f>+'Fin. Highlights - FY'!I11</f>
        <v>1446.0561405516601</v>
      </c>
      <c r="AZ11" s="67">
        <v>376.3</v>
      </c>
      <c r="BA11" s="67">
        <f>IFERROR(BB11-AZ11,"n.a.")</f>
        <v>392.00999999999993</v>
      </c>
      <c r="BB11" s="66">
        <v>768.31</v>
      </c>
      <c r="BC11" s="67">
        <f>IFERROR(BD11-BB11,"n.a.")</f>
        <v>388.6938385540393</v>
      </c>
      <c r="BD11" s="66">
        <v>1157.0038385540392</v>
      </c>
      <c r="BE11" s="67">
        <f>IFERROR(BF11-BD11,"n.a.")</f>
        <v>362.49616144596075</v>
      </c>
      <c r="BF11" s="67">
        <f>+'Fin. Highlights - FY'!J11</f>
        <v>1519.5</v>
      </c>
      <c r="BG11" s="67">
        <v>399</v>
      </c>
      <c r="BH11" s="67">
        <f>IFERROR(BI11-BG11,"n.a.")</f>
        <v>393.92639578966703</v>
      </c>
      <c r="BI11" s="66">
        <v>792.92639578966703</v>
      </c>
      <c r="BJ11" s="67">
        <f>IFERROR(BK11-BI11,"n.a.")</f>
        <v>392.27360421033302</v>
      </c>
      <c r="BK11" s="66">
        <v>1185.2</v>
      </c>
      <c r="BL11" s="67">
        <f>IFERROR(BM11-BK11,"n.a.")</f>
        <v>363.07926379448986</v>
      </c>
      <c r="BM11" s="66">
        <f>+'Fin. Highlights - FY'!K11</f>
        <v>1548.2792637944899</v>
      </c>
    </row>
    <row r="12" spans="1:65">
      <c r="A12" s="106" t="s">
        <v>161</v>
      </c>
      <c r="B12" s="28"/>
      <c r="C12" s="28">
        <f t="shared" ref="C12:AH12" si="10">IFERROR(C11/C7,"n.a.")</f>
        <v>0.20189651310386023</v>
      </c>
      <c r="D12" s="28">
        <f t="shared" si="10"/>
        <v>0.20505200594353643</v>
      </c>
      <c r="E12" s="28">
        <f t="shared" si="10"/>
        <v>0.20347819610471829</v>
      </c>
      <c r="F12" s="28">
        <f t="shared" si="10"/>
        <v>0.2142329293526456</v>
      </c>
      <c r="G12" s="28">
        <f t="shared" si="10"/>
        <v>0.2070818373158351</v>
      </c>
      <c r="H12" s="28">
        <f t="shared" si="10"/>
        <v>0.22941506010156984</v>
      </c>
      <c r="I12" s="28">
        <f t="shared" si="10"/>
        <v>0.2125637766064381</v>
      </c>
      <c r="J12" s="28">
        <f t="shared" si="10"/>
        <v>0.21987935255795782</v>
      </c>
      <c r="K12" s="28">
        <f t="shared" si="10"/>
        <v>0.22711501807526452</v>
      </c>
      <c r="L12" s="28">
        <f t="shared" si="10"/>
        <v>0.22351062616431583</v>
      </c>
      <c r="M12" s="28">
        <f t="shared" si="10"/>
        <v>0.24696887790562971</v>
      </c>
      <c r="N12" s="28">
        <f t="shared" si="10"/>
        <v>0.23124936308977884</v>
      </c>
      <c r="O12" s="28">
        <f t="shared" si="10"/>
        <v>0.25762961842453574</v>
      </c>
      <c r="P12" s="28">
        <f t="shared" si="10"/>
        <v>0.23769536183136505</v>
      </c>
      <c r="Q12" s="28">
        <f t="shared" si="10"/>
        <v>0.24021086859227095</v>
      </c>
      <c r="R12" s="28">
        <f t="shared" si="10"/>
        <v>0.23900125201429645</v>
      </c>
      <c r="S12" s="28">
        <f t="shared" si="10"/>
        <v>0.2395998558106826</v>
      </c>
      <c r="T12" s="28">
        <f t="shared" si="10"/>
        <v>0.24783918826875201</v>
      </c>
      <c r="U12" s="28">
        <f t="shared" si="10"/>
        <v>0.24241994815161294</v>
      </c>
      <c r="V12" s="28">
        <f t="shared" si="10"/>
        <v>0.25770808187653549</v>
      </c>
      <c r="W12" s="28">
        <f t="shared" si="10"/>
        <v>0.24611534020044512</v>
      </c>
      <c r="X12" s="28">
        <f t="shared" si="10"/>
        <v>0.23225038323576516</v>
      </c>
      <c r="Y12" s="28">
        <f t="shared" si="10"/>
        <v>3.093127212014796E-2</v>
      </c>
      <c r="Z12" s="28">
        <f t="shared" si="10"/>
        <v>0.147479477590371</v>
      </c>
      <c r="AA12" s="28">
        <f t="shared" si="10"/>
        <v>0.24220507107791525</v>
      </c>
      <c r="AB12" s="28">
        <f t="shared" si="10"/>
        <v>0.18659040735916324</v>
      </c>
      <c r="AC12" s="28">
        <f t="shared" si="10"/>
        <v>0.26099043201983607</v>
      </c>
      <c r="AD12" s="28">
        <f t="shared" si="10"/>
        <v>0.20748647588834462</v>
      </c>
      <c r="AE12" s="28">
        <f t="shared" si="10"/>
        <v>0.21409077580008279</v>
      </c>
      <c r="AF12" s="28">
        <f t="shared" si="10"/>
        <v>0.23285504565473295</v>
      </c>
      <c r="AG12" s="28">
        <f t="shared" si="10"/>
        <v>0.22374876259386059</v>
      </c>
      <c r="AH12" s="28">
        <f t="shared" si="10"/>
        <v>0.22634306357768522</v>
      </c>
      <c r="AI12" s="28">
        <f t="shared" ref="AI12:BM12" si="11">IFERROR(AI11/AI7,"n.a.")</f>
        <v>0.22467375387664254</v>
      </c>
      <c r="AJ12" s="28">
        <f t="shared" si="11"/>
        <v>0.23419779628138199</v>
      </c>
      <c r="AK12" s="28">
        <f t="shared" si="11"/>
        <v>0.22708925339260425</v>
      </c>
      <c r="AL12" s="28">
        <f t="shared" si="11"/>
        <v>0.21895534192234389</v>
      </c>
      <c r="AM12" s="28">
        <f t="shared" si="11"/>
        <v>0.21613243540951366</v>
      </c>
      <c r="AN12" s="28">
        <f t="shared" si="11"/>
        <v>0.2174755556612116</v>
      </c>
      <c r="AO12" s="28">
        <f t="shared" si="11"/>
        <v>0.20904484577203836</v>
      </c>
      <c r="AP12" s="28">
        <f t="shared" si="11"/>
        <v>0.21440176964988464</v>
      </c>
      <c r="AQ12" s="28">
        <f t="shared" si="11"/>
        <v>0.20803684052204641</v>
      </c>
      <c r="AR12" s="28">
        <f t="shared" si="11"/>
        <v>0.21287936272805599</v>
      </c>
      <c r="AS12" s="28">
        <f t="shared" si="11"/>
        <v>0.21162060079776907</v>
      </c>
      <c r="AT12" s="28">
        <f t="shared" si="11"/>
        <v>0.21832704170886655</v>
      </c>
      <c r="AU12" s="28">
        <f t="shared" si="11"/>
        <v>0.21501090909090906</v>
      </c>
      <c r="AV12" s="28">
        <f t="shared" si="11"/>
        <v>0.21868646051715118</v>
      </c>
      <c r="AW12" s="28">
        <f t="shared" si="11"/>
        <v>0.21624010226212706</v>
      </c>
      <c r="AX12" s="28">
        <f t="shared" si="11"/>
        <v>0.221622683519029</v>
      </c>
      <c r="AY12" s="28">
        <f t="shared" si="11"/>
        <v>0.21744768737569478</v>
      </c>
      <c r="AZ12" s="28">
        <f t="shared" si="11"/>
        <v>0.22193650363013337</v>
      </c>
      <c r="BA12" s="28">
        <f t="shared" si="11"/>
        <v>0.22375383140122257</v>
      </c>
      <c r="BB12" s="28">
        <f t="shared" si="11"/>
        <v>0.22286004350978969</v>
      </c>
      <c r="BC12" s="28">
        <f t="shared" si="11"/>
        <v>0.22376860114804692</v>
      </c>
      <c r="BD12" s="28">
        <f t="shared" si="11"/>
        <v>0.22316444810395566</v>
      </c>
      <c r="BE12" s="28">
        <f t="shared" si="11"/>
        <v>0.22815876563532336</v>
      </c>
      <c r="BF12" s="28">
        <f t="shared" si="11"/>
        <v>0.224335943435443</v>
      </c>
      <c r="BG12" s="28">
        <f t="shared" si="11"/>
        <v>0.22687987626434075</v>
      </c>
      <c r="BH12" s="28">
        <f t="shared" si="11"/>
        <v>0.2264009714360587</v>
      </c>
      <c r="BI12" s="28">
        <f t="shared" si="11"/>
        <v>0.22664170302598102</v>
      </c>
      <c r="BJ12" s="28">
        <f t="shared" si="11"/>
        <v>0.23121078447814819</v>
      </c>
      <c r="BK12" s="28">
        <f t="shared" si="11"/>
        <v>0.22813383749140553</v>
      </c>
      <c r="BL12" s="28">
        <f t="shared" si="11"/>
        <v>0.22965747398994182</v>
      </c>
      <c r="BM12" s="28">
        <f t="shared" si="11"/>
        <v>0.22848932049325701</v>
      </c>
    </row>
    <row r="13" spans="1:65">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row>
    <row r="14" spans="1:65" s="14" customFormat="1" ht="15" hidden="1" customHeight="1" outlineLevel="1">
      <c r="A14" s="19" t="s">
        <v>188</v>
      </c>
      <c r="B14" s="23"/>
      <c r="C14" s="49">
        <f t="shared" ref="C14:O14" si="12">IFERROR(C21-C11,"n.a.")</f>
        <v>-65.400000000000034</v>
      </c>
      <c r="D14" s="49">
        <f t="shared" si="12"/>
        <v>-64.800000000000011</v>
      </c>
      <c r="E14" s="49">
        <f t="shared" si="12"/>
        <v>-130.20000000000005</v>
      </c>
      <c r="F14" s="49">
        <f t="shared" si="12"/>
        <v>-63.899999999999977</v>
      </c>
      <c r="G14" s="49">
        <f t="shared" si="12"/>
        <v>-194.10000000000002</v>
      </c>
      <c r="H14" s="49">
        <f t="shared" si="12"/>
        <v>-67.199999999999989</v>
      </c>
      <c r="I14" s="49">
        <f t="shared" si="12"/>
        <v>-261.30000000000007</v>
      </c>
      <c r="J14" s="49">
        <f t="shared" si="12"/>
        <v>-69.700000000000017</v>
      </c>
      <c r="K14" s="49">
        <f t="shared" si="12"/>
        <v>-68.099999999999937</v>
      </c>
      <c r="L14" s="49">
        <f t="shared" si="12"/>
        <v>-137.79999999999995</v>
      </c>
      <c r="M14" s="49">
        <f t="shared" si="12"/>
        <v>-69.799999999999955</v>
      </c>
      <c r="N14" s="49">
        <f t="shared" si="12"/>
        <v>-207.59999999999991</v>
      </c>
      <c r="O14" s="49">
        <f t="shared" si="12"/>
        <v>-72.10000000000008</v>
      </c>
      <c r="P14" s="49">
        <f>IFERROR(P21-P11,"n.a.")</f>
        <v>-279.70000000000005</v>
      </c>
      <c r="Q14" s="49">
        <f t="shared" ref="Q14:V14" si="13">IFERROR(Q21-Q11,"n.a.")</f>
        <v>-96.416999999999973</v>
      </c>
      <c r="R14" s="49">
        <f t="shared" si="13"/>
        <v>-99.18300000000005</v>
      </c>
      <c r="S14" s="49">
        <f t="shared" si="13"/>
        <v>-195.60000000000002</v>
      </c>
      <c r="T14" s="49">
        <f t="shared" si="13"/>
        <v>-97.9</v>
      </c>
      <c r="U14" s="49">
        <f t="shared" si="13"/>
        <v>-293.5</v>
      </c>
      <c r="V14" s="49">
        <f t="shared" si="13"/>
        <v>-99.284999999999997</v>
      </c>
      <c r="W14" s="49">
        <f>IFERROR(W21-W11,"n.a.")</f>
        <v>-392.78499999999997</v>
      </c>
      <c r="X14" s="49">
        <f t="shared" ref="X14:AC14" si="14">IFERROR(X21-X11,"n.a.")</f>
        <v>-103.15800000000002</v>
      </c>
      <c r="Y14" s="49">
        <f t="shared" si="14"/>
        <v>-98.066000000000003</v>
      </c>
      <c r="Z14" s="49">
        <f t="shared" si="14"/>
        <v>-201.22400000000002</v>
      </c>
      <c r="AA14" s="49">
        <f t="shared" si="14"/>
        <v>-95.643000000000001</v>
      </c>
      <c r="AB14" s="49">
        <f t="shared" si="14"/>
        <v>-296.86700000000002</v>
      </c>
      <c r="AC14" s="49">
        <f t="shared" si="14"/>
        <v>-94.586999999999989</v>
      </c>
      <c r="AD14" s="49">
        <f>IFERROR(AD21-AD11,"n.a.")</f>
        <v>-391.45400000000001</v>
      </c>
      <c r="AE14" s="49">
        <f t="shared" ref="AE14:AJ14" si="15">IFERROR(AE21-AE11,"n.a.")</f>
        <v>-97.731000000000023</v>
      </c>
      <c r="AF14" s="49">
        <f t="shared" si="15"/>
        <v>-98.783999999999963</v>
      </c>
      <c r="AG14" s="49">
        <f t="shared" si="15"/>
        <v>-196.51499999999999</v>
      </c>
      <c r="AH14" s="49">
        <f t="shared" si="15"/>
        <v>-98.728999999999928</v>
      </c>
      <c r="AI14" s="49">
        <f t="shared" si="15"/>
        <v>-295.24399999999991</v>
      </c>
      <c r="AJ14" s="49">
        <f t="shared" si="15"/>
        <v>-99.690000000000055</v>
      </c>
      <c r="AK14" s="49">
        <f>IFERROR(AK21-AK11,"n.a.")</f>
        <v>-394.93399999999997</v>
      </c>
      <c r="AL14" s="49">
        <f>IFERROR(AL21-AL11,"n.a.")</f>
        <v>-104.56799999999998</v>
      </c>
      <c r="AM14" s="49">
        <f>IFERROR(AM21-AM11,"n.a.")</f>
        <v>-109.13299999999998</v>
      </c>
      <c r="AN14" s="49">
        <v>-213.70045383374688</v>
      </c>
      <c r="AO14" s="49">
        <f t="shared" ref="AO14:AW14" si="16">IFERROR(AO21-AO11,"n.a.")</f>
        <v>-111.99700000000013</v>
      </c>
      <c r="AP14" s="49">
        <f t="shared" si="16"/>
        <v>-325.69800000000009</v>
      </c>
      <c r="AQ14" s="49">
        <f t="shared" si="16"/>
        <v>-104.8649999999999</v>
      </c>
      <c r="AR14" s="49">
        <f t="shared" si="16"/>
        <v>-430.56299999999999</v>
      </c>
      <c r="AS14" s="49">
        <f t="shared" si="16"/>
        <v>-111.57</v>
      </c>
      <c r="AT14" s="49">
        <f t="shared" si="16"/>
        <v>-110.12999999999994</v>
      </c>
      <c r="AU14" s="49">
        <f t="shared" si="16"/>
        <v>-221.69999999999993</v>
      </c>
      <c r="AV14" s="49">
        <f t="shared" si="16"/>
        <v>-111.65530799999613</v>
      </c>
      <c r="AW14" s="49">
        <f t="shared" si="16"/>
        <v>-333.35530799999606</v>
      </c>
      <c r="AX14" s="49">
        <f t="shared" ref="AX14:BD14" si="17">IFERROR(AX21-AX11,"n.a.")</f>
        <v>-110.91433100000404</v>
      </c>
      <c r="AY14" s="49">
        <f t="shared" si="17"/>
        <v>-444.2696390000001</v>
      </c>
      <c r="AZ14" s="49">
        <f t="shared" si="17"/>
        <v>-113.71143674702699</v>
      </c>
      <c r="BA14" s="49">
        <f t="shared" si="17"/>
        <v>-115.5285632529729</v>
      </c>
      <c r="BB14" s="49">
        <f t="shared" si="17"/>
        <v>-229.2399999999999</v>
      </c>
      <c r="BC14" s="49">
        <f t="shared" si="17"/>
        <v>-111.87405656451301</v>
      </c>
      <c r="BD14" s="49">
        <f t="shared" si="17"/>
        <v>-341.11405656451291</v>
      </c>
      <c r="BE14" s="49">
        <f t="shared" ref="BE14" si="18">IFERROR(BE21-BE11,"n.a.")</f>
        <v>-117.85791263720728</v>
      </c>
      <c r="BF14" s="49">
        <f t="shared" ref="BF14:BI14" si="19">IFERROR(BF21-BF11,"n.a.")</f>
        <v>-458.97196920172019</v>
      </c>
      <c r="BG14" s="49">
        <f t="shared" si="19"/>
        <v>-119.19999999999999</v>
      </c>
      <c r="BH14" s="49">
        <f t="shared" si="19"/>
        <v>-115.43085803999605</v>
      </c>
      <c r="BI14" s="49">
        <f t="shared" si="19"/>
        <v>-234.63085803999604</v>
      </c>
      <c r="BJ14" s="49">
        <f t="shared" ref="BJ14:BK14" si="20">IFERROR(BJ21-BJ11,"n.a.")</f>
        <v>-115.09495491820905</v>
      </c>
      <c r="BK14" s="49">
        <f t="shared" si="20"/>
        <v>-349.7258129582051</v>
      </c>
      <c r="BL14" s="49">
        <f t="shared" ref="BL14" si="21">IFERROR(BL21-BL11,"n.a.")</f>
        <v>-117.17279804181476</v>
      </c>
      <c r="BM14" s="49">
        <f t="shared" ref="BM14" si="22">IFERROR(BM21-BM11,"n.a.")</f>
        <v>-466.89861100001986</v>
      </c>
    </row>
    <row r="15" spans="1:65" hidden="1" outlineLevel="2">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row>
    <row r="16" spans="1:65" s="14" customFormat="1" ht="13" hidden="1" outlineLevel="2">
      <c r="A16" s="18" t="s">
        <v>165</v>
      </c>
      <c r="B16" s="26"/>
      <c r="C16" s="21">
        <v>219.5</v>
      </c>
      <c r="D16" s="26">
        <f>E16-C16</f>
        <v>223.49999999999994</v>
      </c>
      <c r="E16" s="21">
        <v>442.99999999999994</v>
      </c>
      <c r="F16" s="26">
        <f>G16-E16</f>
        <v>238.2000000000001</v>
      </c>
      <c r="G16" s="21">
        <v>681.2</v>
      </c>
      <c r="H16" s="26">
        <f>I16-G16</f>
        <v>245.39999999999998</v>
      </c>
      <c r="I16" s="36">
        <f>'Fin. Highlights - FY'!C16</f>
        <v>926.6</v>
      </c>
      <c r="J16" s="21">
        <v>229.4</v>
      </c>
      <c r="K16" s="26">
        <f>IFERROR(L16-J16,"n.a.")</f>
        <v>243.9</v>
      </c>
      <c r="L16" s="21">
        <v>473.3</v>
      </c>
      <c r="M16" s="26">
        <f>IFERROR(N16-L16,"n.a.")</f>
        <v>258.8</v>
      </c>
      <c r="N16" s="21">
        <v>732.1</v>
      </c>
      <c r="O16" s="26">
        <f>IFERROR(P16-N16,"n.a.")</f>
        <v>270.60000000000002</v>
      </c>
      <c r="P16" s="36">
        <f>'Fin. Highlights - FY'!D16</f>
        <v>1002.7</v>
      </c>
      <c r="Q16" s="21">
        <v>230.673</v>
      </c>
      <c r="R16" s="26">
        <f>IFERROR(S16-Q16,"n.a.")</f>
        <v>231.72699999999998</v>
      </c>
      <c r="S16" s="21">
        <v>462.4</v>
      </c>
      <c r="T16" s="26">
        <f>IFERROR(U16-S16,"n.a.")</f>
        <v>252</v>
      </c>
      <c r="U16" s="21">
        <v>714.4</v>
      </c>
      <c r="V16" s="26">
        <f>IFERROR(W16-U16,"n.a.")</f>
        <v>244.20000000000005</v>
      </c>
      <c r="W16" s="36">
        <f>'Fin. Highlights - FY'!E16</f>
        <v>958.6</v>
      </c>
      <c r="X16" s="21" t="s">
        <v>164</v>
      </c>
      <c r="Y16" s="26" t="str">
        <f>IFERROR(Z16-X16,"n.a.")</f>
        <v>n.a.</v>
      </c>
      <c r="Z16" s="21" t="s">
        <v>164</v>
      </c>
      <c r="AA16" s="26" t="str">
        <f>IFERROR(AB16-Z16,"n.a.")</f>
        <v>n.a.</v>
      </c>
      <c r="AB16" s="21" t="s">
        <v>164</v>
      </c>
      <c r="AC16" s="26" t="str">
        <f>IFERROR(AD16-AB16,"n.a.")</f>
        <v>n.a.</v>
      </c>
      <c r="AD16" s="36" t="str">
        <f>'Fin. Highlights - FY'!F16</f>
        <v>n.a.</v>
      </c>
      <c r="AE16" s="21" t="s">
        <v>164</v>
      </c>
      <c r="AF16" s="26" t="str">
        <f>IFERROR(AG16-AE16,"n.a.")</f>
        <v>n.a.</v>
      </c>
      <c r="AG16" s="21" t="s">
        <v>164</v>
      </c>
      <c r="AH16" s="26" t="str">
        <f>IFERROR(AI16-AG16,"n.a.")</f>
        <v>n.a.</v>
      </c>
      <c r="AI16" s="21" t="s">
        <v>164</v>
      </c>
      <c r="AJ16" s="26" t="str">
        <f>IFERROR(AK16-AI16,"n.a.")</f>
        <v>n.a.</v>
      </c>
      <c r="AK16" s="36" t="str">
        <f>'Fin. Highlights - FY'!G16</f>
        <v>n.a.</v>
      </c>
      <c r="AL16" s="21" t="s">
        <v>164</v>
      </c>
      <c r="AM16" s="26" t="str">
        <f>IFERROR(AN16-AL16,"n.a.")</f>
        <v>n.a.</v>
      </c>
      <c r="AN16" s="21" t="s">
        <v>164</v>
      </c>
      <c r="AO16" s="26" t="str">
        <f>IFERROR(AP16-AN16,"n.a.")</f>
        <v>n.a.</v>
      </c>
      <c r="AP16" s="21" t="s">
        <v>164</v>
      </c>
      <c r="AQ16" s="26" t="str">
        <f>IFERROR(AR16-AP16,"n.a.")</f>
        <v>n.a.</v>
      </c>
      <c r="AR16" s="36" t="str">
        <f>'Fin. Highlights - FY'!H16</f>
        <v>n.a.</v>
      </c>
      <c r="AS16" s="26" t="s">
        <v>164</v>
      </c>
      <c r="AT16" s="26" t="str">
        <f>IFERROR(AU16-AS16,"n.a.")</f>
        <v>n.a.</v>
      </c>
      <c r="AU16" s="21" t="s">
        <v>164</v>
      </c>
      <c r="AV16" s="26" t="str">
        <f>IFERROR(AW16-AU16,"n.a.")</f>
        <v>n.a.</v>
      </c>
      <c r="AW16" s="21" t="s">
        <v>164</v>
      </c>
      <c r="AX16" s="26" t="str">
        <f>IFERROR(AY16-AW16,"n.a.")</f>
        <v>n.a.</v>
      </c>
      <c r="AY16" s="21" t="s">
        <v>164</v>
      </c>
      <c r="AZ16" s="26" t="s">
        <v>164</v>
      </c>
      <c r="BA16" s="26" t="str">
        <f>IFERROR(BB16-AZ16,"n.a.")</f>
        <v>n.a.</v>
      </c>
      <c r="BB16" s="21" t="s">
        <v>164</v>
      </c>
      <c r="BC16" s="26" t="str">
        <f>IFERROR(BD16-BB16,"n.a.")</f>
        <v>n.a.</v>
      </c>
      <c r="BD16" s="21" t="s">
        <v>164</v>
      </c>
      <c r="BE16" s="26" t="str">
        <f>IFERROR(BF16-BD16,"n.a.")</f>
        <v>n.a.</v>
      </c>
      <c r="BF16" s="26" t="s">
        <v>164</v>
      </c>
      <c r="BG16" s="26" t="s">
        <v>164</v>
      </c>
      <c r="BH16" s="26" t="str">
        <f>IFERROR(BI16-BG16,"n.a.")</f>
        <v>n.a.</v>
      </c>
      <c r="BI16" s="21" t="s">
        <v>164</v>
      </c>
      <c r="BJ16" s="26" t="str">
        <f>IFERROR(BK16-BI16,"n.a.")</f>
        <v>n.a.</v>
      </c>
      <c r="BK16" s="21" t="s">
        <v>164</v>
      </c>
      <c r="BL16" s="26" t="str">
        <f>IFERROR(BM16-BK16,"n.a.")</f>
        <v>n.a.</v>
      </c>
      <c r="BM16" s="21" t="s">
        <v>164</v>
      </c>
    </row>
    <row r="17" spans="1:65" ht="12.75" hidden="1" customHeight="1" outlineLevel="2">
      <c r="A17" s="72"/>
      <c r="B17" s="73"/>
      <c r="C17" s="73"/>
      <c r="D17" s="73"/>
      <c r="E17" s="73"/>
      <c r="F17" s="73"/>
      <c r="G17" s="73"/>
      <c r="H17" s="73"/>
      <c r="I17" s="74"/>
      <c r="J17" s="73"/>
      <c r="K17" s="73"/>
      <c r="L17" s="73"/>
      <c r="M17" s="73"/>
      <c r="N17" s="73"/>
      <c r="O17" s="73"/>
      <c r="P17" s="74"/>
      <c r="Q17" s="73"/>
      <c r="R17" s="73"/>
      <c r="S17" s="73"/>
      <c r="T17" s="73"/>
      <c r="U17" s="73"/>
      <c r="V17" s="73"/>
      <c r="W17" s="74"/>
      <c r="X17" s="73"/>
      <c r="Y17" s="73"/>
      <c r="Z17" s="73"/>
      <c r="AA17" s="73"/>
      <c r="AB17" s="73"/>
      <c r="AC17" s="73"/>
      <c r="AD17" s="74"/>
      <c r="AE17" s="73"/>
      <c r="AF17" s="73"/>
      <c r="AG17" s="73"/>
      <c r="AH17" s="73"/>
      <c r="AI17" s="73"/>
      <c r="AJ17" s="73"/>
      <c r="AK17" s="74"/>
      <c r="AL17" s="73"/>
      <c r="AM17" s="73"/>
      <c r="AN17" s="73"/>
      <c r="AO17" s="73"/>
      <c r="AP17" s="73"/>
      <c r="AQ17" s="73"/>
      <c r="AR17" s="74"/>
      <c r="AS17" s="73"/>
      <c r="AT17" s="73"/>
      <c r="AU17" s="73"/>
      <c r="AV17" s="73"/>
      <c r="AW17" s="73"/>
      <c r="AX17" s="73"/>
      <c r="AY17" s="73"/>
      <c r="AZ17" s="73"/>
      <c r="BA17" s="73"/>
      <c r="BB17" s="73"/>
      <c r="BC17" s="73"/>
      <c r="BD17" s="73"/>
      <c r="BE17" s="73"/>
      <c r="BF17" s="73"/>
      <c r="BG17" s="73"/>
      <c r="BH17" s="73"/>
      <c r="BI17" s="73"/>
      <c r="BJ17" s="73"/>
      <c r="BK17" s="73"/>
      <c r="BL17" s="73"/>
      <c r="BM17" s="73"/>
    </row>
    <row r="18" spans="1:65" hidden="1" outlineLevel="2">
      <c r="A18" s="210" t="s">
        <v>166</v>
      </c>
      <c r="B18" s="25"/>
      <c r="C18" s="25">
        <f t="shared" ref="C18:AH18" si="23">IFERROR(C16/C7,"n.a.")</f>
        <v>0.16389158515642496</v>
      </c>
      <c r="D18" s="25">
        <f t="shared" si="23"/>
        <v>0.1660475482912333</v>
      </c>
      <c r="E18" s="25">
        <f t="shared" si="23"/>
        <v>0.16497225635869361</v>
      </c>
      <c r="F18" s="25">
        <f t="shared" si="23"/>
        <v>0.17602719479751705</v>
      </c>
      <c r="G18" s="25">
        <f t="shared" si="23"/>
        <v>0.16867648879534483</v>
      </c>
      <c r="H18" s="25">
        <f t="shared" si="23"/>
        <v>0.18678983327446994</v>
      </c>
      <c r="I18" s="25">
        <f t="shared" si="23"/>
        <v>0.17312261176366839</v>
      </c>
      <c r="J18" s="25">
        <f t="shared" si="23"/>
        <v>0.17507922067613857</v>
      </c>
      <c r="K18" s="25">
        <f t="shared" si="23"/>
        <v>0.18476768815395941</v>
      </c>
      <c r="L18" s="25">
        <f t="shared" si="23"/>
        <v>0.17994145154545108</v>
      </c>
      <c r="M18" s="25">
        <f t="shared" si="23"/>
        <v>0.19986099312688238</v>
      </c>
      <c r="N18" s="25">
        <f t="shared" si="23"/>
        <v>0.1865127891572404</v>
      </c>
      <c r="O18" s="25">
        <f t="shared" si="23"/>
        <v>0.2131944181825057</v>
      </c>
      <c r="P18" s="25">
        <f t="shared" si="23"/>
        <v>0.19303242836989531</v>
      </c>
      <c r="Q18" s="25">
        <f t="shared" si="23"/>
        <v>0.17557641779139049</v>
      </c>
      <c r="R18" s="25">
        <f t="shared" si="23"/>
        <v>0.17279661516182604</v>
      </c>
      <c r="S18" s="25">
        <f t="shared" si="23"/>
        <v>0.1741722580205308</v>
      </c>
      <c r="T18" s="25">
        <f t="shared" si="23"/>
        <v>0.18240501005760956</v>
      </c>
      <c r="U18" s="25">
        <f t="shared" si="23"/>
        <v>0.17699009806797369</v>
      </c>
      <c r="V18" s="25">
        <f t="shared" si="23"/>
        <v>0.18979240193087737</v>
      </c>
      <c r="W18" s="25">
        <f t="shared" si="23"/>
        <v>0.18008462436875983</v>
      </c>
      <c r="X18" s="25" t="str">
        <f t="shared" si="23"/>
        <v>n.a.</v>
      </c>
      <c r="Y18" s="25" t="str">
        <f t="shared" si="23"/>
        <v>n.a.</v>
      </c>
      <c r="Z18" s="25" t="str">
        <f t="shared" si="23"/>
        <v>n.a.</v>
      </c>
      <c r="AA18" s="25" t="str">
        <f t="shared" si="23"/>
        <v>n.a.</v>
      </c>
      <c r="AB18" s="25" t="str">
        <f t="shared" si="23"/>
        <v>n.a.</v>
      </c>
      <c r="AC18" s="25" t="str">
        <f t="shared" si="23"/>
        <v>n.a.</v>
      </c>
      <c r="AD18" s="25" t="str">
        <f t="shared" si="23"/>
        <v>n.a.</v>
      </c>
      <c r="AE18" s="25" t="str">
        <f t="shared" si="23"/>
        <v>n.a.</v>
      </c>
      <c r="AF18" s="25" t="str">
        <f t="shared" si="23"/>
        <v>n.a.</v>
      </c>
      <c r="AG18" s="25" t="str">
        <f t="shared" si="23"/>
        <v>n.a.</v>
      </c>
      <c r="AH18" s="25" t="str">
        <f t="shared" si="23"/>
        <v>n.a.</v>
      </c>
      <c r="AI18" s="25" t="str">
        <f t="shared" ref="AI18:BM18" si="24">IFERROR(AI16/AI7,"n.a.")</f>
        <v>n.a.</v>
      </c>
      <c r="AJ18" s="25" t="str">
        <f t="shared" si="24"/>
        <v>n.a.</v>
      </c>
      <c r="AK18" s="25" t="str">
        <f t="shared" si="24"/>
        <v>n.a.</v>
      </c>
      <c r="AL18" s="25" t="str">
        <f t="shared" si="24"/>
        <v>n.a.</v>
      </c>
      <c r="AM18" s="25" t="str">
        <f t="shared" si="24"/>
        <v>n.a.</v>
      </c>
      <c r="AN18" s="25" t="str">
        <f t="shared" si="24"/>
        <v>n.a.</v>
      </c>
      <c r="AO18" s="25" t="str">
        <f t="shared" si="24"/>
        <v>n.a.</v>
      </c>
      <c r="AP18" s="25" t="str">
        <f t="shared" si="24"/>
        <v>n.a.</v>
      </c>
      <c r="AQ18" s="25" t="str">
        <f t="shared" si="24"/>
        <v>n.a.</v>
      </c>
      <c r="AR18" s="25" t="str">
        <f t="shared" si="24"/>
        <v>n.a.</v>
      </c>
      <c r="AS18" s="25" t="str">
        <f t="shared" si="24"/>
        <v>n.a.</v>
      </c>
      <c r="AT18" s="25" t="str">
        <f t="shared" si="24"/>
        <v>n.a.</v>
      </c>
      <c r="AU18" s="25" t="str">
        <f t="shared" si="24"/>
        <v>n.a.</v>
      </c>
      <c r="AV18" s="25" t="str">
        <f t="shared" si="24"/>
        <v>n.a.</v>
      </c>
      <c r="AW18" s="25" t="str">
        <f t="shared" si="24"/>
        <v>n.a.</v>
      </c>
      <c r="AX18" s="25" t="str">
        <f t="shared" si="24"/>
        <v>n.a.</v>
      </c>
      <c r="AY18" s="25" t="str">
        <f t="shared" si="24"/>
        <v>n.a.</v>
      </c>
      <c r="AZ18" s="25" t="str">
        <f t="shared" si="24"/>
        <v>n.a.</v>
      </c>
      <c r="BA18" s="25" t="str">
        <f t="shared" si="24"/>
        <v>n.a.</v>
      </c>
      <c r="BB18" s="25" t="str">
        <f t="shared" si="24"/>
        <v>n.a.</v>
      </c>
      <c r="BC18" s="25" t="str">
        <f t="shared" si="24"/>
        <v>n.a.</v>
      </c>
      <c r="BD18" s="25" t="str">
        <f t="shared" si="24"/>
        <v>n.a.</v>
      </c>
      <c r="BE18" s="25" t="str">
        <f t="shared" si="24"/>
        <v>n.a.</v>
      </c>
      <c r="BF18" s="25" t="str">
        <f t="shared" si="24"/>
        <v>n.a.</v>
      </c>
      <c r="BG18" s="25" t="str">
        <f t="shared" si="24"/>
        <v>n.a.</v>
      </c>
      <c r="BH18" s="25" t="str">
        <f t="shared" si="24"/>
        <v>n.a.</v>
      </c>
      <c r="BI18" s="25" t="str">
        <f t="shared" si="24"/>
        <v>n.a.</v>
      </c>
      <c r="BJ18" s="25" t="str">
        <f t="shared" si="24"/>
        <v>n.a.</v>
      </c>
      <c r="BK18" s="25" t="str">
        <f t="shared" si="24"/>
        <v>n.a.</v>
      </c>
      <c r="BL18" s="25" t="str">
        <f t="shared" si="24"/>
        <v>n.a.</v>
      </c>
      <c r="BM18" s="25" t="str">
        <f t="shared" si="24"/>
        <v>n.a.</v>
      </c>
    </row>
    <row r="19" spans="1:65" hidden="1" outlineLevel="2">
      <c r="A19" s="19" t="s">
        <v>25</v>
      </c>
      <c r="B19" s="211"/>
      <c r="C19" s="43">
        <v>-14.5</v>
      </c>
      <c r="D19" s="49">
        <f>E19-C19</f>
        <v>-12.3</v>
      </c>
      <c r="E19" s="43">
        <v>-26.8</v>
      </c>
      <c r="F19" s="49">
        <f>G19-E19</f>
        <v>-12.2</v>
      </c>
      <c r="G19" s="43">
        <v>-39</v>
      </c>
      <c r="H19" s="49">
        <f>I19-G19</f>
        <v>-11.200000000000003</v>
      </c>
      <c r="I19" s="33">
        <f>'Fin. Highlights - FY'!C19</f>
        <v>-50.2</v>
      </c>
      <c r="J19" s="43">
        <v>-11</v>
      </c>
      <c r="K19" s="49">
        <f>IFERROR(L19-J19,"n.a.")</f>
        <v>-12.199999999999989</v>
      </c>
      <c r="L19" s="43">
        <v>-23.199999999999989</v>
      </c>
      <c r="M19" s="49">
        <f>IFERROR(N19-L19,"n.a.")</f>
        <v>-8.8000000000000114</v>
      </c>
      <c r="N19" s="43">
        <v>-32</v>
      </c>
      <c r="O19" s="49">
        <f>P19-N19</f>
        <v>-15.700000000000003</v>
      </c>
      <c r="P19" s="33">
        <f>'Fin. Highlights - FY'!D19</f>
        <v>-47.7</v>
      </c>
      <c r="Q19" s="43">
        <v>-11.5</v>
      </c>
      <c r="R19" s="49">
        <f>IFERROR(S19-Q19,"n.a.")</f>
        <v>-10.399999999999977</v>
      </c>
      <c r="S19" s="43">
        <v>-21.899999999999977</v>
      </c>
      <c r="T19" s="49">
        <f>IFERROR(U19-S19,"n.a.")</f>
        <v>-7.5000000000000213</v>
      </c>
      <c r="U19" s="43">
        <v>-29.4</v>
      </c>
      <c r="V19" s="49">
        <f>IFERROR(W19-U19,"n.a.")</f>
        <v>-11.899999999999999</v>
      </c>
      <c r="W19" s="33">
        <f>'Fin. Highlights - FY'!E19</f>
        <v>-41.3</v>
      </c>
      <c r="X19" s="43" t="s">
        <v>164</v>
      </c>
      <c r="Y19" s="49" t="str">
        <f>IFERROR(Z19-X19,"n.a.")</f>
        <v>n.a.</v>
      </c>
      <c r="Z19" s="43" t="s">
        <v>164</v>
      </c>
      <c r="AA19" s="49" t="str">
        <f>IFERROR(AB19-Z19,"n.a.")</f>
        <v>n.a.</v>
      </c>
      <c r="AB19" s="43" t="s">
        <v>164</v>
      </c>
      <c r="AC19" s="49" t="str">
        <f>IFERROR(AD19-AB19,"n.a.")</f>
        <v>n.a.</v>
      </c>
      <c r="AD19" s="33" t="str">
        <f>'Fin. Highlights - FY'!F19</f>
        <v>n.a.</v>
      </c>
      <c r="AE19" s="43" t="s">
        <v>164</v>
      </c>
      <c r="AF19" s="49" t="str">
        <f>IFERROR(AG19-AE19,"n.a.")</f>
        <v>n.a.</v>
      </c>
      <c r="AG19" s="43" t="s">
        <v>164</v>
      </c>
      <c r="AH19" s="49" t="str">
        <f>IFERROR(AI19-AG19,"n.a.")</f>
        <v>n.a.</v>
      </c>
      <c r="AI19" s="43" t="s">
        <v>164</v>
      </c>
      <c r="AJ19" s="49" t="str">
        <f>IFERROR(AK19-AI19,"n.a.")</f>
        <v>n.a.</v>
      </c>
      <c r="AK19" s="33" t="str">
        <f>'Fin. Highlights - FY'!G19</f>
        <v>n.a.</v>
      </c>
      <c r="AL19" s="43" t="s">
        <v>164</v>
      </c>
      <c r="AM19" s="49" t="str">
        <f>IFERROR(AN19-AL19,"n.a.")</f>
        <v>n.a.</v>
      </c>
      <c r="AN19" s="43" t="s">
        <v>164</v>
      </c>
      <c r="AO19" s="49" t="str">
        <f>IFERROR(AP19-AN19,"n.a.")</f>
        <v>n.a.</v>
      </c>
      <c r="AP19" s="43" t="s">
        <v>164</v>
      </c>
      <c r="AQ19" s="49" t="str">
        <f>IFERROR(AR19-AP19,"n.a.")</f>
        <v>n.a.</v>
      </c>
      <c r="AR19" s="33" t="str">
        <f>'Fin. Highlights - FY'!H19</f>
        <v>n.a.</v>
      </c>
      <c r="AS19" s="49" t="s">
        <v>164</v>
      </c>
      <c r="AT19" s="49" t="str">
        <f>IFERROR(AU19-AS19,"n.a.")</f>
        <v>n.a.</v>
      </c>
      <c r="AU19" s="43" t="s">
        <v>164</v>
      </c>
      <c r="AV19" s="49" t="str">
        <f>IFERROR(AW19-AU19,"n.a.")</f>
        <v>n.a.</v>
      </c>
      <c r="AW19" s="43" t="s">
        <v>164</v>
      </c>
      <c r="AX19" s="49" t="str">
        <f>IFERROR(AY19-AW19,"n.a.")</f>
        <v>n.a.</v>
      </c>
      <c r="AY19" s="43" t="s">
        <v>164</v>
      </c>
      <c r="AZ19" s="49" t="s">
        <v>164</v>
      </c>
      <c r="BA19" s="49" t="str">
        <f>IFERROR(BB19-AZ19,"n.a.")</f>
        <v>n.a.</v>
      </c>
      <c r="BB19" s="43" t="s">
        <v>164</v>
      </c>
      <c r="BC19" s="49" t="str">
        <f>IFERROR(BD19-BB19,"n.a.")</f>
        <v>n.a.</v>
      </c>
      <c r="BD19" s="43" t="s">
        <v>164</v>
      </c>
      <c r="BE19" s="49" t="str">
        <f>IFERROR(BF19-BD19,"n.a.")</f>
        <v>n.a.</v>
      </c>
      <c r="BF19" s="49" t="s">
        <v>164</v>
      </c>
      <c r="BG19" s="49" t="s">
        <v>164</v>
      </c>
      <c r="BH19" s="49" t="str">
        <f>IFERROR(BI19-BG19,"n.a.")</f>
        <v>n.a.</v>
      </c>
      <c r="BI19" s="43" t="s">
        <v>164</v>
      </c>
      <c r="BJ19" s="49" t="str">
        <f>IFERROR(BK19-BI19,"n.a.")</f>
        <v>n.a.</v>
      </c>
      <c r="BK19" s="43" t="s">
        <v>164</v>
      </c>
      <c r="BL19" s="49" t="str">
        <f>IFERROR(BM19-BK19,"n.a.")</f>
        <v>n.a.</v>
      </c>
      <c r="BM19" s="43" t="s">
        <v>164</v>
      </c>
    </row>
    <row r="20" spans="1:65" collapsed="1">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row>
    <row r="21" spans="1:65" s="14" customFormat="1" ht="13">
      <c r="A21" s="64" t="s">
        <v>159</v>
      </c>
      <c r="B21" s="65"/>
      <c r="C21" s="65">
        <f t="shared" ref="C21:O21" si="25">IFERROR(C16+C19,"n.a.")</f>
        <v>205</v>
      </c>
      <c r="D21" s="65">
        <f t="shared" si="25"/>
        <v>211.19999999999993</v>
      </c>
      <c r="E21" s="65">
        <f t="shared" si="25"/>
        <v>416.19999999999993</v>
      </c>
      <c r="F21" s="65">
        <f t="shared" si="25"/>
        <v>226.00000000000011</v>
      </c>
      <c r="G21" s="65">
        <f t="shared" si="25"/>
        <v>642.20000000000005</v>
      </c>
      <c r="H21" s="65">
        <f t="shared" si="25"/>
        <v>234.2</v>
      </c>
      <c r="I21" s="65">
        <f t="shared" si="25"/>
        <v>876.4</v>
      </c>
      <c r="J21" s="65">
        <f t="shared" si="25"/>
        <v>218.4</v>
      </c>
      <c r="K21" s="65">
        <f t="shared" si="25"/>
        <v>231.70000000000002</v>
      </c>
      <c r="L21" s="65">
        <f t="shared" si="25"/>
        <v>450.1</v>
      </c>
      <c r="M21" s="65">
        <f t="shared" si="25"/>
        <v>250</v>
      </c>
      <c r="N21" s="65">
        <f t="shared" si="25"/>
        <v>700.1</v>
      </c>
      <c r="O21" s="65">
        <f t="shared" si="25"/>
        <v>254.90000000000003</v>
      </c>
      <c r="P21" s="65">
        <f>IFERROR(P16+P19,"n.a.")</f>
        <v>955</v>
      </c>
      <c r="Q21" s="65">
        <f t="shared" ref="Q21:V21" si="26">IFERROR(Q16+Q19,"n.a.")</f>
        <v>219.173</v>
      </c>
      <c r="R21" s="65">
        <f t="shared" si="26"/>
        <v>221.327</v>
      </c>
      <c r="S21" s="65">
        <f t="shared" si="26"/>
        <v>440.5</v>
      </c>
      <c r="T21" s="65">
        <f t="shared" si="26"/>
        <v>244.49999999999997</v>
      </c>
      <c r="U21" s="65">
        <f t="shared" si="26"/>
        <v>685</v>
      </c>
      <c r="V21" s="65">
        <f t="shared" si="26"/>
        <v>232.30000000000004</v>
      </c>
      <c r="W21" s="65">
        <f>IFERROR(W16+W19,"n.a.")</f>
        <v>917.30000000000007</v>
      </c>
      <c r="X21" s="66">
        <v>141.07</v>
      </c>
      <c r="Y21" s="65">
        <f>IFERROR(Z21-X21,"n.a.")</f>
        <v>-74.407999999999987</v>
      </c>
      <c r="Z21" s="66">
        <v>66.662000000000006</v>
      </c>
      <c r="AA21" s="65">
        <f>IFERROR(AB21-Z21,"n.a.")</f>
        <v>213.74999999999997</v>
      </c>
      <c r="AB21" s="66">
        <v>280.41199999999998</v>
      </c>
      <c r="AC21" s="65">
        <f>IFERROR(AD21-AB21,"n.a.")</f>
        <v>220.76800000000003</v>
      </c>
      <c r="AD21" s="68">
        <f>'Fin. Highlights - FY'!F21</f>
        <v>501.18</v>
      </c>
      <c r="AE21" s="66">
        <v>168.751</v>
      </c>
      <c r="AF21" s="65">
        <f>IFERROR(AG21-AE21,"n.a.")</f>
        <v>208.614</v>
      </c>
      <c r="AG21" s="66">
        <v>377.36500000000001</v>
      </c>
      <c r="AH21" s="65">
        <f>IFERROR(AI21-AG21,"n.a.")</f>
        <v>221.43100000000004</v>
      </c>
      <c r="AI21" s="66">
        <v>598.79600000000005</v>
      </c>
      <c r="AJ21" s="65">
        <f>IFERROR(AK21-AI21,"n.a.")</f>
        <v>216.9849999999999</v>
      </c>
      <c r="AK21" s="68">
        <f>'Fin. Highlights - FY'!G21</f>
        <v>815.78099999999995</v>
      </c>
      <c r="AL21" s="66">
        <v>228.483</v>
      </c>
      <c r="AM21" s="65">
        <f>IFERROR(AN21-AL21,"n.a.")</f>
        <v>253.07600000000002</v>
      </c>
      <c r="AN21" s="66">
        <v>481.55900000000003</v>
      </c>
      <c r="AO21" s="65">
        <f>IFERROR(AP21-AN21,"n.a.")</f>
        <v>271.89399999999995</v>
      </c>
      <c r="AP21" s="66">
        <v>753.45299999999997</v>
      </c>
      <c r="AQ21" s="65">
        <f>IFERROR(AR21-AP21,"n.a.")</f>
        <v>224.33000000000004</v>
      </c>
      <c r="AR21" s="68">
        <f>'Fin. Highlights - FY'!H21</f>
        <v>977.78300000000002</v>
      </c>
      <c r="AS21" s="65">
        <v>248.13</v>
      </c>
      <c r="AT21" s="65">
        <f>IFERROR(AU21-AS21,"n.a.")</f>
        <v>269.27</v>
      </c>
      <c r="AU21" s="66">
        <v>517.4</v>
      </c>
      <c r="AV21" s="65">
        <f>IFERROR(AW21-AU21,"n.a.")</f>
        <v>265.09357113620206</v>
      </c>
      <c r="AW21" s="66">
        <v>782.49357113620204</v>
      </c>
      <c r="AX21" s="65">
        <f>IFERROR(AY21-AW21,"n.a.")</f>
        <v>219.29293041545793</v>
      </c>
      <c r="AY21" s="66">
        <f>+'Fin. Highlights - FY'!I21</f>
        <v>1001.78650155166</v>
      </c>
      <c r="AZ21" s="65">
        <v>262.58856325297302</v>
      </c>
      <c r="BA21" s="65">
        <f>IFERROR(BB21-AZ21,"n.a.")</f>
        <v>276.48143674702703</v>
      </c>
      <c r="BB21" s="66">
        <v>539.07000000000005</v>
      </c>
      <c r="BC21" s="65">
        <f>IFERROR(BD21-BB21,"n.a.")</f>
        <v>276.81978198952629</v>
      </c>
      <c r="BD21" s="66">
        <v>815.88978198952634</v>
      </c>
      <c r="BE21" s="65">
        <f>IFERROR(BF21-BD21,"n.a.")</f>
        <v>244.63824880875347</v>
      </c>
      <c r="BF21" s="65">
        <f>+'Fin. Highlights - FY'!J21</f>
        <v>1060.5280307982798</v>
      </c>
      <c r="BG21" s="65">
        <v>279.8</v>
      </c>
      <c r="BH21" s="65">
        <f>IFERROR(BI21-BG21,"n.a.")</f>
        <v>278.49553774967097</v>
      </c>
      <c r="BI21" s="66">
        <v>558.29553774967098</v>
      </c>
      <c r="BJ21" s="65">
        <f>IFERROR(BK21-BI21,"n.a.")</f>
        <v>277.17864929212396</v>
      </c>
      <c r="BK21" s="66">
        <v>835.47418704179495</v>
      </c>
      <c r="BL21" s="65">
        <f>IFERROR(BM21-BK21,"n.a.")</f>
        <v>245.9064657526751</v>
      </c>
      <c r="BM21" s="66">
        <f>+'Fin. Highlights - FY'!K21</f>
        <v>1081.3806527944701</v>
      </c>
    </row>
    <row r="22" spans="1:65">
      <c r="A22" s="106" t="s">
        <v>158</v>
      </c>
      <c r="B22" s="28"/>
      <c r="C22" s="28">
        <f t="shared" ref="C22:AH22" si="27">IFERROR(C21/C7,"n.a.")</f>
        <v>0.15306503397297094</v>
      </c>
      <c r="D22" s="28">
        <f t="shared" si="27"/>
        <v>0.15690936106983655</v>
      </c>
      <c r="E22" s="28">
        <f t="shared" si="27"/>
        <v>0.15499199344579748</v>
      </c>
      <c r="F22" s="28">
        <f t="shared" si="27"/>
        <v>0.16701152822938226</v>
      </c>
      <c r="G22" s="28">
        <f t="shared" si="27"/>
        <v>0.15901943791011516</v>
      </c>
      <c r="H22" s="28">
        <f t="shared" si="27"/>
        <v>0.17826478790904995</v>
      </c>
      <c r="I22" s="28">
        <f t="shared" si="27"/>
        <v>0.16374342429276817</v>
      </c>
      <c r="J22" s="28">
        <f t="shared" si="27"/>
        <v>0.16668396597937515</v>
      </c>
      <c r="K22" s="28">
        <f t="shared" si="27"/>
        <v>0.17552551597077654</v>
      </c>
      <c r="L22" s="28">
        <f t="shared" si="27"/>
        <v>0.17112116488613466</v>
      </c>
      <c r="M22" s="28">
        <f t="shared" si="27"/>
        <v>0.19306510155224341</v>
      </c>
      <c r="N22" s="28">
        <f t="shared" si="27"/>
        <v>0.17836033832670947</v>
      </c>
      <c r="O22" s="28">
        <f t="shared" si="27"/>
        <v>0.20082504506548671</v>
      </c>
      <c r="P22" s="28">
        <f t="shared" si="27"/>
        <v>0.18384957524010173</v>
      </c>
      <c r="Q22" s="28">
        <f t="shared" si="27"/>
        <v>0.16682320955028299</v>
      </c>
      <c r="R22" s="28">
        <f t="shared" si="27"/>
        <v>0.16504143429087451</v>
      </c>
      <c r="S22" s="28">
        <f t="shared" si="27"/>
        <v>0.16592318265147885</v>
      </c>
      <c r="T22" s="28">
        <f t="shared" si="27"/>
        <v>0.17697628952018069</v>
      </c>
      <c r="U22" s="28">
        <f t="shared" si="27"/>
        <v>0.16970635103102183</v>
      </c>
      <c r="V22" s="28">
        <f t="shared" si="27"/>
        <v>0.18054371403989686</v>
      </c>
      <c r="W22" s="28">
        <f t="shared" si="27"/>
        <v>0.17232591897920235</v>
      </c>
      <c r="X22" s="28">
        <f t="shared" si="27"/>
        <v>0.13415153693708087</v>
      </c>
      <c r="Y22" s="28">
        <f t="shared" si="27"/>
        <v>-9.728354450570495E-2</v>
      </c>
      <c r="Z22" s="28">
        <f t="shared" si="27"/>
        <v>3.6699480133823015E-2</v>
      </c>
      <c r="AA22" s="28">
        <f t="shared" si="27"/>
        <v>0.16733194979493518</v>
      </c>
      <c r="AB22" s="28">
        <f t="shared" si="27"/>
        <v>9.0635878506575993E-2</v>
      </c>
      <c r="AC22" s="28">
        <f t="shared" si="27"/>
        <v>0.18270944077676007</v>
      </c>
      <c r="AD22" s="28">
        <f t="shared" si="27"/>
        <v>0.11649575524315739</v>
      </c>
      <c r="AE22" s="28">
        <f t="shared" si="27"/>
        <v>0.13557400690117818</v>
      </c>
      <c r="AF22" s="28">
        <f t="shared" si="27"/>
        <v>0.158025824807632</v>
      </c>
      <c r="AG22" s="28">
        <f t="shared" si="27"/>
        <v>0.14712997803762495</v>
      </c>
      <c r="AH22" s="28">
        <f t="shared" si="27"/>
        <v>0.15654476171623696</v>
      </c>
      <c r="AI22" s="28">
        <f t="shared" ref="AI22:BM22" si="28">IFERROR(AI21/AI7,"n.a.")</f>
        <v>0.15047844070323257</v>
      </c>
      <c r="AJ22" s="28">
        <f t="shared" si="28"/>
        <v>0.16047180492970917</v>
      </c>
      <c r="AK22" s="28">
        <f t="shared" si="28"/>
        <v>0.15301297020510368</v>
      </c>
      <c r="AL22" s="28">
        <f t="shared" si="28"/>
        <v>0.15020994799127732</v>
      </c>
      <c r="AM22" s="28">
        <f t="shared" si="28"/>
        <v>0.15101207375768708</v>
      </c>
      <c r="AN22" s="28">
        <f t="shared" si="28"/>
        <v>0.15063042762226705</v>
      </c>
      <c r="AO22" s="28">
        <f t="shared" si="28"/>
        <v>0.14805775414464672</v>
      </c>
      <c r="AP22" s="28">
        <f t="shared" si="28"/>
        <v>0.14969328346822133</v>
      </c>
      <c r="AQ22" s="28">
        <f t="shared" si="28"/>
        <v>0.14176674747280696</v>
      </c>
      <c r="AR22" s="28">
        <f t="shared" si="28"/>
        <v>0.14779736082349562</v>
      </c>
      <c r="AS22" s="28">
        <f t="shared" si="28"/>
        <v>0.14598115005824419</v>
      </c>
      <c r="AT22" s="28">
        <f t="shared" si="28"/>
        <v>0.15495235245373354</v>
      </c>
      <c r="AU22" s="28">
        <f t="shared" si="28"/>
        <v>0.15051636363636364</v>
      </c>
      <c r="AV22" s="28">
        <f t="shared" si="28"/>
        <v>0.15387537425604422</v>
      </c>
      <c r="AW22" s="28">
        <f t="shared" si="28"/>
        <v>0.15163925241645229</v>
      </c>
      <c r="AX22" s="28">
        <f t="shared" si="28"/>
        <v>0.14718115981791602</v>
      </c>
      <c r="AY22" s="28">
        <f t="shared" si="28"/>
        <v>0.15064156355886252</v>
      </c>
      <c r="AZ22" s="28">
        <f t="shared" si="28"/>
        <v>0.15487108057832832</v>
      </c>
      <c r="BA22" s="28">
        <f t="shared" si="28"/>
        <v>0.1578117414950182</v>
      </c>
      <c r="BB22" s="28">
        <f t="shared" si="28"/>
        <v>0.15636548223350255</v>
      </c>
      <c r="BC22" s="28">
        <f t="shared" si="28"/>
        <v>0.15936340955734424</v>
      </c>
      <c r="BD22" s="28">
        <f t="shared" si="28"/>
        <v>0.15736991256563165</v>
      </c>
      <c r="BE22" s="28">
        <f t="shared" si="28"/>
        <v>0.15397779842066867</v>
      </c>
      <c r="BF22" s="28">
        <f t="shared" si="28"/>
        <v>0.15657423911080268</v>
      </c>
      <c r="BG22" s="28">
        <f t="shared" si="28"/>
        <v>0.15910022400692367</v>
      </c>
      <c r="BH22" s="28">
        <f t="shared" si="28"/>
        <v>0.16005949578661607</v>
      </c>
      <c r="BI22" s="28">
        <f t="shared" si="28"/>
        <v>0.15957729763981232</v>
      </c>
      <c r="BJ22" s="28">
        <f t="shared" si="28"/>
        <v>0.16337243254599124</v>
      </c>
      <c r="BK22" s="28">
        <f t="shared" si="28"/>
        <v>0.16081668276650102</v>
      </c>
      <c r="BL22" s="28">
        <f t="shared" si="28"/>
        <v>0.15554250378374421</v>
      </c>
      <c r="BM22" s="28">
        <f t="shared" si="28"/>
        <v>0.15958615240122451</v>
      </c>
    </row>
    <row r="23" spans="1:65" ht="15" hidden="1" customHeight="1" outlineLevel="1">
      <c r="A23" s="19" t="s">
        <v>23</v>
      </c>
      <c r="B23" s="43"/>
      <c r="C23" s="43">
        <v>-26.2</v>
      </c>
      <c r="D23" s="49">
        <f>E23-C23</f>
        <v>-26.099999999999998</v>
      </c>
      <c r="E23" s="43">
        <v>-52.3</v>
      </c>
      <c r="F23" s="49">
        <f>G23-E23</f>
        <v>-28.600000000000009</v>
      </c>
      <c r="G23" s="43">
        <v>-80.900000000000006</v>
      </c>
      <c r="H23" s="49">
        <f>I23-G23</f>
        <v>-28.699999999999989</v>
      </c>
      <c r="I23" s="33">
        <f>'Fin. Highlights - FY'!C23</f>
        <v>-109.6</v>
      </c>
      <c r="J23" s="43">
        <v>-28.7</v>
      </c>
      <c r="K23" s="49">
        <f>IFERROR(L23-J23,"n.a.")</f>
        <v>-28.599999999999998</v>
      </c>
      <c r="L23" s="43">
        <v>-57.3</v>
      </c>
      <c r="M23" s="49">
        <f>IFERROR(N23-L23,"n.a.")</f>
        <v>-28.700000000000003</v>
      </c>
      <c r="N23" s="43">
        <v>-86</v>
      </c>
      <c r="O23" s="49">
        <f>IFERROR(P23-N23,"n.a.")</f>
        <v>-28.599999999999994</v>
      </c>
      <c r="P23" s="33">
        <f>'Fin. Highlights - FY'!D23</f>
        <v>-114.6</v>
      </c>
      <c r="Q23" s="43">
        <v>-28.65</v>
      </c>
      <c r="R23" s="49">
        <f>IFERROR(S23-Q23,"n.a.")</f>
        <v>-28.65</v>
      </c>
      <c r="S23" s="43">
        <v>-57.3</v>
      </c>
      <c r="T23" s="49">
        <f>IFERROR(U23-S23,"n.a.")</f>
        <v>-28.700000000000003</v>
      </c>
      <c r="U23" s="43">
        <v>-86</v>
      </c>
      <c r="V23" s="49">
        <f>IFERROR(W23-U23,"n.a.")</f>
        <v>-28.599999999999994</v>
      </c>
      <c r="W23" s="33">
        <f>'Fin. Highlights - FY'!E23</f>
        <v>-114.6</v>
      </c>
      <c r="X23" s="43">
        <v>-28.65</v>
      </c>
      <c r="Y23" s="49">
        <f>IFERROR(Z23-X23,"n.a.")</f>
        <v>-28.65</v>
      </c>
      <c r="Z23" s="43">
        <v>-57.3</v>
      </c>
      <c r="AA23" s="49">
        <f>IFERROR(AB23-Z23,"n.a.")</f>
        <v>-28.700000000000003</v>
      </c>
      <c r="AB23" s="43">
        <v>-86</v>
      </c>
      <c r="AC23" s="49">
        <f>IFERROR(AD23-AB23,"n.a.")</f>
        <v>-28.599999999999994</v>
      </c>
      <c r="AD23" s="33">
        <f>'Fin. Highlights - FY'!F23</f>
        <v>-114.6</v>
      </c>
      <c r="AE23" s="43">
        <v>-28.427</v>
      </c>
      <c r="AF23" s="49">
        <f>IFERROR(AG23-AE23,"n.a.")</f>
        <v>-28.450000000000003</v>
      </c>
      <c r="AG23" s="43">
        <v>-56.877000000000002</v>
      </c>
      <c r="AH23" s="49">
        <f>IFERROR(AI23-AG23,"n.a.")</f>
        <v>-28.402999999999999</v>
      </c>
      <c r="AI23" s="43">
        <v>-85.28</v>
      </c>
      <c r="AJ23" s="49">
        <f>IFERROR(AK23-AI23,"n.a.")</f>
        <v>-28.42</v>
      </c>
      <c r="AK23" s="33">
        <f>'Fin. Highlights - FY'!G23</f>
        <v>-113.7</v>
      </c>
      <c r="AL23" s="43">
        <v>-28.4</v>
      </c>
      <c r="AM23" s="49">
        <f>IFERROR(AN23-AL23,"n.a.")</f>
        <v>-28.451999999999998</v>
      </c>
      <c r="AN23" s="43">
        <v>-56.851999999999997</v>
      </c>
      <c r="AO23" s="49">
        <f>IFERROR(AP23-AN23,"n.a.")</f>
        <v>-28.428000000000004</v>
      </c>
      <c r="AP23" s="43">
        <v>-85.28</v>
      </c>
      <c r="AQ23" s="49">
        <f>IFERROR(AR23-AP23,"n.a.")</f>
        <v>-28.426999999999992</v>
      </c>
      <c r="AR23" s="33">
        <f>'Fin. Highlights - FY'!H23</f>
        <v>-113.70699999999999</v>
      </c>
      <c r="AS23" s="49">
        <v>-28.427</v>
      </c>
      <c r="AT23" s="49">
        <f>IFERROR(AU23-AS23,"n.a.")</f>
        <v>-28.423000000000002</v>
      </c>
      <c r="AU23" s="43">
        <v>-56.85</v>
      </c>
      <c r="AV23" s="49">
        <f>IFERROR(AW23-AU23,"n.a.")</f>
        <v>-28.43</v>
      </c>
      <c r="AW23" s="43">
        <v>-85.28</v>
      </c>
      <c r="AX23" s="49">
        <f>IFERROR(AY23-AW23,"n.a.")</f>
        <v>-28.426999999999992</v>
      </c>
      <c r="AY23" s="43">
        <f>+'Fin. Highlights - FY'!I23</f>
        <v>-113.70699999999999</v>
      </c>
      <c r="AZ23" s="49">
        <v>-28.426662499999999</v>
      </c>
      <c r="BA23" s="49">
        <f>IFERROR(BB23-AZ23,"n.a.")-0.1</f>
        <v>-28.523337500000004</v>
      </c>
      <c r="BB23" s="43">
        <v>-56.85</v>
      </c>
      <c r="BC23" s="49">
        <f>IFERROR(BD23-BB23,"n.a.")</f>
        <v>-28.429987500000003</v>
      </c>
      <c r="BD23" s="43">
        <v>-85.279987500000004</v>
      </c>
      <c r="BE23" s="49">
        <f>IFERROR(BF23-BD23,"n.a.")</f>
        <v>-28.426662499999992</v>
      </c>
      <c r="BF23" s="49">
        <f>+'Fin. Highlights - FY'!J23</f>
        <v>-113.70665</v>
      </c>
      <c r="BG23" s="49">
        <v>-28.426662499999999</v>
      </c>
      <c r="BH23" s="49">
        <f>IFERROR(BI23-BG23,"n.a.")-0.1</f>
        <v>-28.526662460000004</v>
      </c>
      <c r="BI23" s="43">
        <v>-56.853324960000002</v>
      </c>
      <c r="BJ23" s="49">
        <f>IFERROR(BK23-BI23,"n.a.")-0.1</f>
        <v>-26.499999999999986</v>
      </c>
      <c r="BK23" s="43">
        <v>-83.253324959999986</v>
      </c>
      <c r="BL23" s="49">
        <f>IFERROR(BM23-BK23,"n.a.")-0.1</f>
        <v>-23.559445040000021</v>
      </c>
      <c r="BM23" s="43">
        <f>+'Fin. Highlights - FY'!K23</f>
        <v>-106.71277000000001</v>
      </c>
    </row>
    <row r="24" spans="1:65" ht="15" hidden="1" customHeight="1" outlineLevel="1">
      <c r="A24" s="16" t="s">
        <v>247</v>
      </c>
      <c r="B24" s="44"/>
      <c r="C24" s="44">
        <v>-10.1</v>
      </c>
      <c r="D24" s="51">
        <f>E24-C24</f>
        <v>-35.6</v>
      </c>
      <c r="E24" s="44">
        <v>-45.7</v>
      </c>
      <c r="F24" s="51">
        <f>G24-E24</f>
        <v>25.500000000000004</v>
      </c>
      <c r="G24" s="44">
        <v>-20.2</v>
      </c>
      <c r="H24" s="51">
        <f>I24-G24</f>
        <v>-73</v>
      </c>
      <c r="I24" s="48">
        <f>'Fin. Highlights - FY'!C24</f>
        <v>-93.2</v>
      </c>
      <c r="J24" s="44">
        <v>-5.7</v>
      </c>
      <c r="K24" s="51">
        <f>IFERROR(L24-J24,"n.a.")</f>
        <v>-9.3999999999999986</v>
      </c>
      <c r="L24" s="44">
        <v>-15.1</v>
      </c>
      <c r="M24" s="51">
        <f>IFERROR(N24-L24,"n.a.")</f>
        <v>-7.6</v>
      </c>
      <c r="N24" s="44">
        <v>-22.7</v>
      </c>
      <c r="O24" s="51">
        <f>IFERROR(P24-N24,"n.a.")</f>
        <v>-114.60000000000001</v>
      </c>
      <c r="P24" s="48">
        <f>'Fin. Highlights - FY'!D24</f>
        <v>-137.30000000000001</v>
      </c>
      <c r="Q24" s="44">
        <v>-7.4480000000000004</v>
      </c>
      <c r="R24" s="49">
        <f>IFERROR(S24-Q24,"n.a.")</f>
        <v>49.247999999999998</v>
      </c>
      <c r="S24" s="44">
        <v>41.8</v>
      </c>
      <c r="T24" s="51">
        <f>IFERROR(U24-S24,"n.a.")</f>
        <v>-42.9</v>
      </c>
      <c r="U24" s="44">
        <v>-1.1000000000000001</v>
      </c>
      <c r="V24" s="49">
        <f>IFERROR(W24-U24,"n.a.")</f>
        <v>-58.894999999999996</v>
      </c>
      <c r="W24" s="33">
        <f>'Fin. Highlights - FY'!E24</f>
        <v>-59.994999999999997</v>
      </c>
      <c r="X24" s="44">
        <v>-24.048999999999999</v>
      </c>
      <c r="Y24" s="51">
        <f>IFERROR(Z24-X24,"n.a.")</f>
        <v>-42.101000000000006</v>
      </c>
      <c r="Z24" s="44">
        <v>-66.150000000000006</v>
      </c>
      <c r="AA24" s="51">
        <f>IFERROR(AB24-Z24,"n.a.")</f>
        <v>-32.649999999999991</v>
      </c>
      <c r="AB24" s="44">
        <v>-98.8</v>
      </c>
      <c r="AC24" s="51">
        <f>IFERROR(AD24-AB24,"n.a.")</f>
        <v>-68.64200000000001</v>
      </c>
      <c r="AD24" s="48">
        <f>'Fin. Highlights - FY'!F24</f>
        <v>-167.44200000000001</v>
      </c>
      <c r="AE24" s="44">
        <v>-42.956000000000003</v>
      </c>
      <c r="AF24" s="51">
        <f>IFERROR(AG24-AE24,"n.a.")</f>
        <v>-28.929999999999993</v>
      </c>
      <c r="AG24" s="44">
        <v>-71.885999999999996</v>
      </c>
      <c r="AH24" s="51">
        <f>IFERROR(AI24-AG24,"n.a.")</f>
        <v>-15.314000000000007</v>
      </c>
      <c r="AI24" s="44">
        <v>-87.2</v>
      </c>
      <c r="AJ24" s="51">
        <f>IFERROR(AK24-AI24,"n.a.")</f>
        <v>-37.780999999999992</v>
      </c>
      <c r="AK24" s="48">
        <f>'Fin. Highlights - FY'!G24</f>
        <v>-124.98099999999999</v>
      </c>
      <c r="AL24" s="44">
        <v>-7.4790000000000001</v>
      </c>
      <c r="AM24" s="51">
        <f>IFERROR(AN24-AL24,"n.a.")</f>
        <v>-12.003</v>
      </c>
      <c r="AN24" s="44">
        <v>-19.481999999999999</v>
      </c>
      <c r="AO24" s="51">
        <f>IFERROR(AP24-AN24,"n.a.")</f>
        <v>-16.47</v>
      </c>
      <c r="AP24" s="44">
        <v>-35.951999999999998</v>
      </c>
      <c r="AQ24" s="51">
        <f>IFERROR(AR24-AP24,"n.a.")</f>
        <v>-36.646000000000001</v>
      </c>
      <c r="AR24" s="48">
        <f>'Fin. Highlights - FY'!H24</f>
        <v>-72.597999999999999</v>
      </c>
      <c r="AS24" s="51">
        <v>-8.9789999999999992</v>
      </c>
      <c r="AT24" s="51">
        <f>IFERROR(AU24-AS24,"n.a.")</f>
        <v>-11.551000000000002</v>
      </c>
      <c r="AU24" s="44">
        <v>-20.53</v>
      </c>
      <c r="AV24" s="51">
        <f>IFERROR(AW24-AU24,"n.a.")</f>
        <v>-8.4163201361980988</v>
      </c>
      <c r="AW24" s="44">
        <v>-28.9463201361981</v>
      </c>
      <c r="AX24" s="51">
        <f>IFERROR(AY24-AW24,"n.a.")</f>
        <v>-50.805324778446504</v>
      </c>
      <c r="AY24" s="44">
        <f>+'Fin. Highlights - FY'!I24</f>
        <v>-79.751644914644601</v>
      </c>
      <c r="AZ24" s="51">
        <v>-7.6824048545779497</v>
      </c>
      <c r="BA24" s="51">
        <f>IFERROR(BB24-AZ24,"n.a.")</f>
        <v>-7.8975951454220503</v>
      </c>
      <c r="BB24" s="44">
        <v>-15.58</v>
      </c>
      <c r="BC24" s="51">
        <f>IFERROR(BD24-BB24,"n.a.")</f>
        <v>-7.2324707487313002</v>
      </c>
      <c r="BD24" s="44">
        <v>-22.8124707487313</v>
      </c>
      <c r="BE24" s="51">
        <f>IFERROR(BF24-BD24,"n.a.")</f>
        <v>-21.020153504592898</v>
      </c>
      <c r="BF24" s="51">
        <f>+'Fin. Highlights - FY'!J24</f>
        <v>-43.832624253324198</v>
      </c>
      <c r="BG24" s="51">
        <v>-11.514640968107001</v>
      </c>
      <c r="BH24" s="51">
        <f>IFERROR(BI24-BG24,"n.a.")</f>
        <v>-10.322779813586498</v>
      </c>
      <c r="BI24" s="44">
        <v>-21.837420781693499</v>
      </c>
      <c r="BJ24" s="51">
        <f>IFERROR(BK24-BI24,"n.a.")</f>
        <v>-22.000000000000004</v>
      </c>
      <c r="BK24" s="44">
        <v>-43.837420781693503</v>
      </c>
      <c r="BL24" s="51">
        <f>IFERROR(BM24-BK24,"n.a.")</f>
        <v>-39.630588657262997</v>
      </c>
      <c r="BM24" s="44">
        <f>+'Fin. Highlights - FY'!K24</f>
        <v>-83.4680094389565</v>
      </c>
    </row>
    <row r="25" spans="1:65" collapsed="1">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row>
    <row r="26" spans="1:65" s="14" customFormat="1" ht="13">
      <c r="A26" s="18" t="s">
        <v>11</v>
      </c>
      <c r="B26" s="29"/>
      <c r="C26" s="29">
        <f t="shared" ref="C26:AQ26" si="29">IFERROR(C21+C23+C24,"n.a.")</f>
        <v>168.70000000000002</v>
      </c>
      <c r="D26" s="29">
        <f t="shared" si="29"/>
        <v>149.49999999999994</v>
      </c>
      <c r="E26" s="29">
        <f t="shared" si="29"/>
        <v>318.19999999999993</v>
      </c>
      <c r="F26" s="29">
        <f t="shared" si="29"/>
        <v>222.90000000000009</v>
      </c>
      <c r="G26" s="29">
        <f t="shared" si="29"/>
        <v>541.1</v>
      </c>
      <c r="H26" s="29">
        <f t="shared" si="29"/>
        <v>132.5</v>
      </c>
      <c r="I26" s="29">
        <f t="shared" si="29"/>
        <v>673.59999999999991</v>
      </c>
      <c r="J26" s="29">
        <f t="shared" si="29"/>
        <v>184.00000000000003</v>
      </c>
      <c r="K26" s="29">
        <f t="shared" si="29"/>
        <v>193.70000000000002</v>
      </c>
      <c r="L26" s="29">
        <f t="shared" si="29"/>
        <v>377.7</v>
      </c>
      <c r="M26" s="29">
        <f t="shared" si="29"/>
        <v>213.70000000000002</v>
      </c>
      <c r="N26" s="29">
        <f t="shared" si="29"/>
        <v>591.4</v>
      </c>
      <c r="O26" s="29">
        <f t="shared" si="29"/>
        <v>111.70000000000003</v>
      </c>
      <c r="P26" s="29">
        <f t="shared" si="29"/>
        <v>703.09999999999991</v>
      </c>
      <c r="Q26" s="29">
        <f t="shared" si="29"/>
        <v>183.07499999999999</v>
      </c>
      <c r="R26" s="29">
        <f t="shared" si="29"/>
        <v>241.92499999999998</v>
      </c>
      <c r="S26" s="29">
        <f t="shared" si="29"/>
        <v>425</v>
      </c>
      <c r="T26" s="29">
        <f t="shared" si="29"/>
        <v>172.89999999999995</v>
      </c>
      <c r="U26" s="29">
        <f t="shared" si="29"/>
        <v>597.9</v>
      </c>
      <c r="V26" s="29">
        <f t="shared" si="29"/>
        <v>144.80500000000006</v>
      </c>
      <c r="W26" s="29">
        <f t="shared" si="29"/>
        <v>742.70500000000004</v>
      </c>
      <c r="X26" s="29">
        <f t="shared" si="29"/>
        <v>88.370999999999981</v>
      </c>
      <c r="Y26" s="29">
        <f t="shared" si="29"/>
        <v>-145.15899999999999</v>
      </c>
      <c r="Z26" s="29">
        <f t="shared" si="29"/>
        <v>-56.787999999999997</v>
      </c>
      <c r="AA26" s="29">
        <f t="shared" si="29"/>
        <v>152.39999999999998</v>
      </c>
      <c r="AB26" s="29">
        <f t="shared" si="29"/>
        <v>95.611999999999981</v>
      </c>
      <c r="AC26" s="29">
        <f t="shared" si="29"/>
        <v>123.52600000000002</v>
      </c>
      <c r="AD26" s="29">
        <f t="shared" si="29"/>
        <v>219.13800000000003</v>
      </c>
      <c r="AE26" s="29">
        <f t="shared" si="29"/>
        <v>97.368000000000009</v>
      </c>
      <c r="AF26" s="29">
        <f t="shared" si="29"/>
        <v>151.23399999999998</v>
      </c>
      <c r="AG26" s="29">
        <f t="shared" si="29"/>
        <v>248.602</v>
      </c>
      <c r="AH26" s="29">
        <f t="shared" si="29"/>
        <v>177.71400000000006</v>
      </c>
      <c r="AI26" s="29">
        <f t="shared" si="29"/>
        <v>426.31600000000009</v>
      </c>
      <c r="AJ26" s="29">
        <f t="shared" si="29"/>
        <v>150.78399999999988</v>
      </c>
      <c r="AK26" s="29">
        <f t="shared" si="29"/>
        <v>577.09999999999991</v>
      </c>
      <c r="AL26" s="29">
        <f t="shared" si="29"/>
        <v>192.60399999999998</v>
      </c>
      <c r="AM26" s="29">
        <f t="shared" si="29"/>
        <v>212.62100000000004</v>
      </c>
      <c r="AN26" s="29">
        <f t="shared" si="29"/>
        <v>405.22500000000002</v>
      </c>
      <c r="AO26" s="29">
        <f t="shared" si="29"/>
        <v>226.99599999999995</v>
      </c>
      <c r="AP26" s="29">
        <f t="shared" si="29"/>
        <v>632.221</v>
      </c>
      <c r="AQ26" s="29">
        <f t="shared" si="29"/>
        <v>159.25700000000006</v>
      </c>
      <c r="AR26" s="29">
        <f>IFERROR(AR21+AR23+AR24,"n.a.")</f>
        <v>791.47800000000007</v>
      </c>
      <c r="AS26" s="29">
        <f t="shared" ref="AS26:BM26" si="30">IFERROR(AS21+AS23+AS24,"n.a.")</f>
        <v>210.72399999999999</v>
      </c>
      <c r="AT26" s="29">
        <f t="shared" si="30"/>
        <v>229.29599999999999</v>
      </c>
      <c r="AU26" s="29">
        <f t="shared" si="30"/>
        <v>440.02</v>
      </c>
      <c r="AV26" s="29">
        <f t="shared" si="30"/>
        <v>228.24725100000396</v>
      </c>
      <c r="AW26" s="29">
        <f t="shared" si="30"/>
        <v>668.26725100000397</v>
      </c>
      <c r="AX26" s="29">
        <f t="shared" si="30"/>
        <v>140.06060563701143</v>
      </c>
      <c r="AY26" s="29">
        <f t="shared" si="30"/>
        <v>808.32785663701543</v>
      </c>
      <c r="AZ26" s="29">
        <f t="shared" si="30"/>
        <v>226.47949589839507</v>
      </c>
      <c r="BA26" s="29">
        <f t="shared" si="30"/>
        <v>240.06050410160498</v>
      </c>
      <c r="BB26" s="29">
        <f t="shared" si="30"/>
        <v>466.64000000000004</v>
      </c>
      <c r="BC26" s="29">
        <f t="shared" si="30"/>
        <v>241.15732374079499</v>
      </c>
      <c r="BD26" s="29">
        <f t="shared" si="30"/>
        <v>707.79732374079504</v>
      </c>
      <c r="BE26" s="29">
        <f t="shared" si="30"/>
        <v>195.19143280416057</v>
      </c>
      <c r="BF26" s="29">
        <f t="shared" si="30"/>
        <v>902.98875654495566</v>
      </c>
      <c r="BG26" s="29">
        <f t="shared" si="30"/>
        <v>239.85869653189303</v>
      </c>
      <c r="BH26" s="29">
        <f t="shared" si="30"/>
        <v>239.64609547608447</v>
      </c>
      <c r="BI26" s="29">
        <f t="shared" si="30"/>
        <v>479.60479200797749</v>
      </c>
      <c r="BJ26" s="29">
        <f t="shared" si="30"/>
        <v>228.67864929212396</v>
      </c>
      <c r="BK26" s="29">
        <f t="shared" si="30"/>
        <v>708.38344130010148</v>
      </c>
      <c r="BL26" s="29">
        <f>IFERROR(BM26-BK26,"n.a.")</f>
        <v>182.81643205541206</v>
      </c>
      <c r="BM26" s="29">
        <f t="shared" si="30"/>
        <v>891.19987335551355</v>
      </c>
    </row>
    <row r="27" spans="1:6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row>
    <row r="28" spans="1:65" hidden="1" outlineLevel="1">
      <c r="A28" s="19" t="s">
        <v>16</v>
      </c>
      <c r="B28" s="23"/>
      <c r="C28" s="23">
        <v>-3.1</v>
      </c>
      <c r="D28" s="49">
        <f>E28-C28</f>
        <v>-9.8000000000000007</v>
      </c>
      <c r="E28" s="23">
        <v>-12.9</v>
      </c>
      <c r="F28" s="49">
        <f>G28-E28</f>
        <v>-5.7000000000000011</v>
      </c>
      <c r="G28" s="23">
        <v>-18.600000000000001</v>
      </c>
      <c r="H28" s="49">
        <f>I28-G28</f>
        <v>11.745000000000001</v>
      </c>
      <c r="I28" s="33">
        <f>'Fin. Highlights - FY'!C28</f>
        <v>-6.8550000000000004</v>
      </c>
      <c r="J28" s="23">
        <v>0.8</v>
      </c>
      <c r="K28" s="49">
        <f>IFERROR(L28-J28,"n.a.")</f>
        <v>-5.3</v>
      </c>
      <c r="L28" s="23">
        <v>-4.5</v>
      </c>
      <c r="M28" s="49">
        <f>IFERROR(N28-L28,"n.a.")</f>
        <v>-3.3</v>
      </c>
      <c r="N28" s="23">
        <v>-7.8</v>
      </c>
      <c r="O28" s="49">
        <f>IFERROR(P28-N28,"n.a.")</f>
        <v>2.8000000000000007</v>
      </c>
      <c r="P28" s="33">
        <f>'Fin. Highlights - FY'!D28</f>
        <v>-4.9999999999999991</v>
      </c>
      <c r="Q28" s="23">
        <v>2.012</v>
      </c>
      <c r="R28" s="49">
        <f>IFERROR(S28-Q28,"n.a.")</f>
        <v>8.8000000000000078E-2</v>
      </c>
      <c r="S28" s="23">
        <v>2.1</v>
      </c>
      <c r="T28" s="49">
        <f>IFERROR(U28-S28,"n.a.")</f>
        <v>-0.70000000000000018</v>
      </c>
      <c r="U28" s="23">
        <v>1.4</v>
      </c>
      <c r="V28" s="49">
        <f>IFERROR(W28-U28,"n.a.")</f>
        <v>-12.405000000000001</v>
      </c>
      <c r="W28" s="33">
        <f>'Fin. Highlights - FY'!E28</f>
        <v>-11.005000000000001</v>
      </c>
      <c r="X28" s="23">
        <v>-5.2880000000000003</v>
      </c>
      <c r="Y28" s="49">
        <f>IFERROR(Z28-X28,"n.a.")</f>
        <v>0.65500000000000025</v>
      </c>
      <c r="Z28" s="23">
        <v>-4.633</v>
      </c>
      <c r="AA28" s="49">
        <f>IFERROR(AB28-Z28,"n.a.")</f>
        <v>-1.4749999999999996</v>
      </c>
      <c r="AB28" s="23">
        <v>-6.1079999999999997</v>
      </c>
      <c r="AC28" s="49">
        <f>IFERROR(AD28-AB28,"n.a.")</f>
        <v>0.83699999999999974</v>
      </c>
      <c r="AD28" s="33">
        <f>'Fin. Highlights - FY'!F28</f>
        <v>-5.2709999999999999</v>
      </c>
      <c r="AE28" s="23">
        <v>-9.1999999999999998E-2</v>
      </c>
      <c r="AF28" s="49">
        <f>IFERROR(AG28-AE28,"n.a.")</f>
        <v>2.0819999999999999</v>
      </c>
      <c r="AG28" s="23">
        <v>1.99</v>
      </c>
      <c r="AH28" s="49">
        <f>IFERROR(AI28-AG28,"n.a.")</f>
        <v>-0.377</v>
      </c>
      <c r="AI28" s="23">
        <v>1.613</v>
      </c>
      <c r="AJ28" s="49">
        <f>IFERROR(AK28-AI28,"n.a.")</f>
        <v>2.3650000000000002</v>
      </c>
      <c r="AK28" s="33">
        <f>'Fin. Highlights - FY'!G28</f>
        <v>3.9780000000000002</v>
      </c>
      <c r="AL28" s="23">
        <v>0.76900000000000002</v>
      </c>
      <c r="AM28" s="49">
        <f>IFERROR(AN28-AL28,"n.a.")</f>
        <v>1.552</v>
      </c>
      <c r="AN28" s="23">
        <v>2.3210000000000002</v>
      </c>
      <c r="AO28" s="49">
        <v>0.8</v>
      </c>
      <c r="AP28" s="23">
        <v>3.1</v>
      </c>
      <c r="AQ28" s="49">
        <f>IFERROR(AR28-AP28,"n.a.")</f>
        <v>2.7470000000000003</v>
      </c>
      <c r="AR28" s="33">
        <f>'Fin. Highlights - FY'!H28</f>
        <v>5.8470000000000004</v>
      </c>
      <c r="AS28" s="49">
        <v>2.323</v>
      </c>
      <c r="AT28" s="49">
        <f>IFERROR(AU28-AS28,"n.a.")</f>
        <v>3.887</v>
      </c>
      <c r="AU28" s="23">
        <v>6.21</v>
      </c>
      <c r="AV28" s="49">
        <v>2.7</v>
      </c>
      <c r="AW28" s="23">
        <v>8.8819999999999997</v>
      </c>
      <c r="AX28" s="49">
        <f>+AY28-AW28</f>
        <v>6.9977255769182509</v>
      </c>
      <c r="AY28" s="23">
        <f>+'Fin. Highlights - FY'!I28</f>
        <v>15.879725576918251</v>
      </c>
      <c r="AZ28" s="49">
        <v>6.049094311758787</v>
      </c>
      <c r="BA28" s="49">
        <f>IFERROR(BB28-AZ28,"n.a.")</f>
        <v>9.8509056882412125</v>
      </c>
      <c r="BB28" s="23">
        <v>15.9</v>
      </c>
      <c r="BC28" s="49">
        <f>IFERROR(BD28-BB28,"n.a.")</f>
        <v>6.6126441807510989</v>
      </c>
      <c r="BD28" s="23">
        <v>22.512644180751099</v>
      </c>
      <c r="BE28" s="49">
        <f>IFERROR(BF28-BD28,"n.a.")</f>
        <v>8.875746582374699</v>
      </c>
      <c r="BF28" s="49">
        <f>+'Fin. Highlights - FY'!J28</f>
        <v>31.388390763125798</v>
      </c>
      <c r="BG28" s="49">
        <v>5.8165108102519802</v>
      </c>
      <c r="BH28" s="49">
        <f>IFERROR(BI28-BG28,"n.a.")</f>
        <v>10.167478033707219</v>
      </c>
      <c r="BI28" s="23">
        <v>15.983988843959199</v>
      </c>
      <c r="BJ28" s="49">
        <f>IFERROR(BK28-BI28,"n.a.")</f>
        <v>6.7953213410628912</v>
      </c>
      <c r="BK28" s="23">
        <v>22.779310185022091</v>
      </c>
      <c r="BL28" s="49">
        <f>IFERROR(BM28-BK28,"n.a.")</f>
        <v>29.928422551985015</v>
      </c>
      <c r="BM28" s="23">
        <f>+'Fin. Highlights - FY'!K28</f>
        <v>52.707732737007106</v>
      </c>
    </row>
    <row r="29" spans="1:65" hidden="1" outlineLevel="1">
      <c r="A29" s="16" t="s">
        <v>94</v>
      </c>
      <c r="B29" s="24"/>
      <c r="C29" s="24">
        <v>-77</v>
      </c>
      <c r="D29" s="51">
        <f>E29-C29</f>
        <v>-149.4</v>
      </c>
      <c r="E29" s="24">
        <v>-226.4</v>
      </c>
      <c r="F29" s="51">
        <f>G29-E29</f>
        <v>-63.500000000000028</v>
      </c>
      <c r="G29" s="24">
        <v>-289.90000000000003</v>
      </c>
      <c r="H29" s="51">
        <f>I29-G29</f>
        <v>-72.70999999999998</v>
      </c>
      <c r="I29" s="48">
        <f>'Fin. Highlights - FY'!C29</f>
        <v>-362.61</v>
      </c>
      <c r="J29" s="24">
        <v>-55.200000000000031</v>
      </c>
      <c r="K29" s="51">
        <f>IFERROR(L29-J29,"n.a.")</f>
        <v>-62.799999999999969</v>
      </c>
      <c r="L29" s="24">
        <v>-118</v>
      </c>
      <c r="M29" s="51">
        <f>IFERROR(N29-L29,"n.a.")</f>
        <v>-20.800000000000011</v>
      </c>
      <c r="N29" s="24">
        <v>-138.80000000000001</v>
      </c>
      <c r="O29" s="51">
        <f>IFERROR(P29-N29,"n.a.")</f>
        <v>-57.500000000000057</v>
      </c>
      <c r="P29" s="48">
        <f>'Fin. Highlights - FY'!D29</f>
        <v>-196.30000000000007</v>
      </c>
      <c r="Q29" s="24">
        <f>-41.352-6.72</f>
        <v>-48.071999999999996</v>
      </c>
      <c r="R29" s="49">
        <f>IFERROR(S29-Q29,"n.a.")</f>
        <v>38.071999999999996</v>
      </c>
      <c r="S29" s="44">
        <v>-10</v>
      </c>
      <c r="T29" s="49">
        <f>IFERROR(U29-S29,"n.a.")</f>
        <v>-65.2</v>
      </c>
      <c r="U29" s="44">
        <v>-75.2</v>
      </c>
      <c r="V29" s="49">
        <f>IFERROR(W29-U29,"n.a.")</f>
        <v>-34.278999999999996</v>
      </c>
      <c r="W29" s="33">
        <f>'Fin. Highlights - FY'!E29</f>
        <v>-109.479</v>
      </c>
      <c r="X29" s="24">
        <f>-26.604-5.87</f>
        <v>-32.473999999999997</v>
      </c>
      <c r="Y29" s="51">
        <f>IFERROR(Z29-X29,"n.a.")</f>
        <v>-40.576000000000015</v>
      </c>
      <c r="Z29" s="24">
        <f>-62.023-11.127+0.1</f>
        <v>-73.050000000000011</v>
      </c>
      <c r="AA29" s="51">
        <f>IFERROR(AB29-Z29+0.05,"n.a.")</f>
        <v>-40.216999999999985</v>
      </c>
      <c r="AB29" s="24">
        <v>-113.31699999999999</v>
      </c>
      <c r="AC29" s="51">
        <f>IFERROR(AD29-AB29,"n.a.")</f>
        <v>-43.112000000000009</v>
      </c>
      <c r="AD29" s="48">
        <f>'Fin. Highlights - FY'!F29</f>
        <v>-156.429</v>
      </c>
      <c r="AE29" s="24">
        <v>-40</v>
      </c>
      <c r="AF29" s="51">
        <f>IFERROR(AG29-AE29,"n.a.")</f>
        <v>-31.841999999999999</v>
      </c>
      <c r="AG29" s="24">
        <v>-71.841999999999999</v>
      </c>
      <c r="AH29" s="51">
        <f>IFERROR(AI29-AG29-0.05,"n.a.")</f>
        <v>-35.06</v>
      </c>
      <c r="AI29" s="24">
        <v>-106.852</v>
      </c>
      <c r="AJ29" s="51">
        <f>IFERROR(AK29-AI29,"n.a.")</f>
        <v>-37.429000000000002</v>
      </c>
      <c r="AK29" s="48">
        <f>'Fin. Highlights - FY'!G29</f>
        <v>-144.28100000000001</v>
      </c>
      <c r="AL29" s="24">
        <v>-43.581000000000003</v>
      </c>
      <c r="AM29" s="51">
        <f>IFERROR(AN29-AL29,"n.a.")</f>
        <v>-46.015999999999991</v>
      </c>
      <c r="AN29" s="24">
        <v>-89.596999999999994</v>
      </c>
      <c r="AO29" s="51">
        <f>IFERROR(AP29-AN29-0.05,"n.a.")</f>
        <v>-55.534999999999997</v>
      </c>
      <c r="AP29" s="24">
        <v>-145.08199999999999</v>
      </c>
      <c r="AQ29" s="51">
        <f>IFERROR(AR29-AP29,"n.a.")</f>
        <v>-56.613</v>
      </c>
      <c r="AR29" s="48">
        <f>'Fin. Highlights - FY'!H29</f>
        <v>-201.69499999999999</v>
      </c>
      <c r="AS29" s="51">
        <v>-52.249000000000002</v>
      </c>
      <c r="AT29" s="51">
        <f>IFERROR(AU29-AS29,"n.a.")</f>
        <v>-54.600999999999992</v>
      </c>
      <c r="AU29" s="24">
        <v>-106.85</v>
      </c>
      <c r="AV29" s="51">
        <f>IFERROR(AW29-AU29-0.05,"n.a.")</f>
        <v>-43.333000000000013</v>
      </c>
      <c r="AW29" s="24">
        <v>-150.13300000000001</v>
      </c>
      <c r="AX29" s="51">
        <f>IFERROR(AY29-AW29-0.05,"n.a.")</f>
        <v>-44.02016505616929</v>
      </c>
      <c r="AY29" s="24">
        <f>+'Fin. Highlights - FY'!I29</f>
        <v>-194.1031650561693</v>
      </c>
      <c r="AZ29" s="51">
        <v>-110.1320778498818</v>
      </c>
      <c r="BA29" s="51">
        <f>IFERROR(BB29-AZ29,"n.a.")</f>
        <v>-66.016922150118205</v>
      </c>
      <c r="BB29" s="24">
        <v>-176.149</v>
      </c>
      <c r="BC29" s="51">
        <f>IFERROR(BD29-BB29-0.05,"n.a.")</f>
        <v>-49.405667574267781</v>
      </c>
      <c r="BD29" s="24">
        <v>-225.50466757426778</v>
      </c>
      <c r="BE29" s="51">
        <f>IFERROR(BF29-BD29-0.05,"n.a.")</f>
        <v>-61.129105099276089</v>
      </c>
      <c r="BF29" s="51">
        <f>+'Fin. Highlights - FY'!J29</f>
        <v>-286.58377267354388</v>
      </c>
      <c r="BG29" s="51">
        <v>-59.501404552456997</v>
      </c>
      <c r="BH29" s="51">
        <f>IFERROR(BI29-BG29,"n.a.")</f>
        <v>-63.236890337875998</v>
      </c>
      <c r="BI29" s="24">
        <v>-122.73829489033299</v>
      </c>
      <c r="BJ29" s="51">
        <f>IFERROR(BK29-BI29,"n.a.")</f>
        <v>-36.161705109667011</v>
      </c>
      <c r="BK29" s="24">
        <v>-158.9</v>
      </c>
      <c r="BL29" s="51">
        <f>IFERROR(BM29-BK29,"n.a.")</f>
        <v>-24.844135144584158</v>
      </c>
      <c r="BM29" s="24">
        <f>+'Fin. Highlights - FY'!K29</f>
        <v>-183.74413514458416</v>
      </c>
    </row>
    <row r="30" spans="1:65" hidden="1" outlineLevel="1">
      <c r="A30" s="16" t="s">
        <v>17</v>
      </c>
      <c r="B30" s="24"/>
      <c r="C30" s="24">
        <v>-39.1</v>
      </c>
      <c r="D30" s="51">
        <f>E30-C30</f>
        <v>27.8</v>
      </c>
      <c r="E30" s="24">
        <v>-11.3</v>
      </c>
      <c r="F30" s="51">
        <f>G30-E30</f>
        <v>-22.400000000000002</v>
      </c>
      <c r="G30" s="24">
        <v>-33.700000000000003</v>
      </c>
      <c r="H30" s="51">
        <f>I30-G30</f>
        <v>-7.1479999999999961</v>
      </c>
      <c r="I30" s="48">
        <f>'Fin. Highlights - FY'!C30</f>
        <v>-40.847999999999999</v>
      </c>
      <c r="J30" s="24">
        <v>-37.200000000000003</v>
      </c>
      <c r="K30" s="51">
        <f>IFERROR(L30-J30,"n.a.")</f>
        <v>-36.099999999999994</v>
      </c>
      <c r="L30" s="24">
        <v>-73.3</v>
      </c>
      <c r="M30" s="51">
        <f>IFERROR(N30-L30,"n.a.")</f>
        <v>6.5999999999999943</v>
      </c>
      <c r="N30" s="24">
        <v>-66.7</v>
      </c>
      <c r="O30" s="51">
        <f>IFERROR(P30-N30,"n.a.")</f>
        <v>13.700000000000003</v>
      </c>
      <c r="P30" s="48">
        <f>'Fin. Highlights - FY'!D30</f>
        <v>-53</v>
      </c>
      <c r="Q30" s="24">
        <v>-35.597000000000001</v>
      </c>
      <c r="R30" s="49">
        <f>IFERROR(S30-Q30,"n.a.")</f>
        <v>-74.502999999999986</v>
      </c>
      <c r="S30" s="24">
        <v>-110.1</v>
      </c>
      <c r="T30" s="49">
        <f>IFERROR(U30-S30,"n.a.")</f>
        <v>-28.300000000000011</v>
      </c>
      <c r="U30" s="24">
        <v>-138.4</v>
      </c>
      <c r="V30" s="49">
        <f>IFERROR(W30-U30,"n.a.")</f>
        <v>-26.162000000000006</v>
      </c>
      <c r="W30" s="33">
        <f>'Fin. Highlights - FY'!E30</f>
        <v>-164.56200000000001</v>
      </c>
      <c r="X30" s="24">
        <v>-12.146000000000001</v>
      </c>
      <c r="Y30" s="51">
        <f>IFERROR(Z30-X30,"n.a.")</f>
        <v>44.927</v>
      </c>
      <c r="Z30" s="24">
        <f>32.881-0.1</f>
        <v>32.780999999999999</v>
      </c>
      <c r="AA30" s="51">
        <f>IFERROR(AB30-Z30,"n.a.")</f>
        <v>-26.827999999999999</v>
      </c>
      <c r="AB30" s="24">
        <v>5.9530000000000003</v>
      </c>
      <c r="AC30" s="51">
        <f>IFERROR(AD30-AB30,"n.a.")</f>
        <v>-20.646000000000001</v>
      </c>
      <c r="AD30" s="48">
        <f>'Fin. Highlights - FY'!F30</f>
        <v>-14.693</v>
      </c>
      <c r="AE30" s="24">
        <v>-15.121</v>
      </c>
      <c r="AF30" s="51">
        <f>IFERROR(AG30-AE30,"n.a.")</f>
        <v>-32.073</v>
      </c>
      <c r="AG30" s="24">
        <v>-47.194000000000003</v>
      </c>
      <c r="AH30" s="51">
        <f>IFERROR(AI30-AG30,"n.a.")</f>
        <v>-37.557999999999993</v>
      </c>
      <c r="AI30" s="24">
        <v>-84.751999999999995</v>
      </c>
      <c r="AJ30" s="51">
        <f>IFERROR(AK30-AI30,"n.a.")</f>
        <v>-30.406000000000006</v>
      </c>
      <c r="AK30" s="48">
        <f>'Fin. Highlights - FY'!G30</f>
        <v>-115.158</v>
      </c>
      <c r="AL30" s="24">
        <v>-39.950000000000003</v>
      </c>
      <c r="AM30" s="51">
        <f>IFERROR(AN30-AL30+0.1,"n.a.")</f>
        <v>-44.863999999999997</v>
      </c>
      <c r="AN30" s="24">
        <v>-84.914000000000001</v>
      </c>
      <c r="AO30" s="51">
        <f>IFERROR(AP30-AN30,"n.a.")</f>
        <v>-45.966999999999999</v>
      </c>
      <c r="AP30" s="24">
        <v>-130.881</v>
      </c>
      <c r="AQ30" s="51">
        <f>IFERROR(AR30-AP30+0.1,"n.a.")</f>
        <v>-28.753000000000007</v>
      </c>
      <c r="AR30" s="48">
        <f>'Fin. Highlights - FY'!H30</f>
        <v>-159.73400000000001</v>
      </c>
      <c r="AS30" s="51">
        <v>-45.828000000000003</v>
      </c>
      <c r="AT30" s="51">
        <f>IFERROR(AU30-AS30+0.1,"n.a.")</f>
        <v>-50.781999999999989</v>
      </c>
      <c r="AU30" s="24">
        <v>-96.71</v>
      </c>
      <c r="AV30" s="51">
        <f>IFERROR(AW30-AU30,"n.a.")</f>
        <v>-19.26700000000001</v>
      </c>
      <c r="AW30" s="24">
        <v>-115.977</v>
      </c>
      <c r="AX30" s="51">
        <f>IFERROR(AY30-AW30,"n.a.")</f>
        <v>-18.221180870894017</v>
      </c>
      <c r="AY30" s="24">
        <f>+'Fin. Highlights - FY'!I30</f>
        <v>-134.19818087089402</v>
      </c>
      <c r="AZ30" s="51">
        <v>-21.997886317374018</v>
      </c>
      <c r="BA30" s="51">
        <f>IFERROR(BB30-AZ30,"n.a.")</f>
        <v>-53.058113682625979</v>
      </c>
      <c r="BB30" s="24">
        <v>-75.055999999999997</v>
      </c>
      <c r="BC30" s="51">
        <f>IFERROR(BD30-BB30,"n.a.")</f>
        <v>-58.599894139569059</v>
      </c>
      <c r="BD30" s="24">
        <v>-133.65589413956906</v>
      </c>
      <c r="BE30" s="51">
        <f>IFERROR(BF30-BD30,"n.a.")</f>
        <v>-12.998306425828162</v>
      </c>
      <c r="BF30" s="51">
        <f>+'Fin. Highlights - FY'!J30</f>
        <v>-146.65420056539722</v>
      </c>
      <c r="BG30" s="51">
        <v>-59.021367751701</v>
      </c>
      <c r="BH30" s="51">
        <f>IFERROR(BI30-BG30,"n.a.")</f>
        <v>-49.856539610443001</v>
      </c>
      <c r="BI30" s="24">
        <v>-108.877907362144</v>
      </c>
      <c r="BJ30" s="51">
        <f>IFERROR(BK30-BI30,"n.a.")</f>
        <v>-62.831132069673018</v>
      </c>
      <c r="BK30" s="24">
        <v>-171.70903943181702</v>
      </c>
      <c r="BL30" s="51">
        <f>IFERROR(BM30-BK30,"n.a.")</f>
        <v>-57.756886428895996</v>
      </c>
      <c r="BM30" s="24">
        <f>+'Fin. Highlights - FY'!K30</f>
        <v>-229.46592586071301</v>
      </c>
    </row>
    <row r="31" spans="1:65" collapsed="1">
      <c r="A31" s="27" t="s">
        <v>136</v>
      </c>
      <c r="B31" s="28"/>
      <c r="C31" s="28">
        <f>IFERROR(C30/SUM(C26,C28,C29),"n.a.")</f>
        <v>-0.4413092550790067</v>
      </c>
      <c r="D31" s="28">
        <f t="shared" ref="D31:BM31" si="31">IFERROR(D30/SUM(D26,D28,D29),"n.a.")</f>
        <v>-2.8659793814432772</v>
      </c>
      <c r="E31" s="28">
        <f t="shared" si="31"/>
        <v>-0.1432192648922688</v>
      </c>
      <c r="F31" s="28">
        <f t="shared" si="31"/>
        <v>-0.14573845152895246</v>
      </c>
      <c r="G31" s="28">
        <f t="shared" si="31"/>
        <v>-0.14488392089423907</v>
      </c>
      <c r="H31" s="28">
        <f t="shared" si="31"/>
        <v>-9.9923114559306539E-2</v>
      </c>
      <c r="I31" s="28">
        <f t="shared" si="31"/>
        <v>-0.13430877735216273</v>
      </c>
      <c r="J31" s="28">
        <f t="shared" si="31"/>
        <v>-0.28703703703703703</v>
      </c>
      <c r="K31" s="28">
        <f t="shared" si="31"/>
        <v>-0.28742038216560495</v>
      </c>
      <c r="L31" s="28">
        <f t="shared" si="31"/>
        <v>-0.28722570532915359</v>
      </c>
      <c r="M31" s="28">
        <f t="shared" si="31"/>
        <v>3.4810126582278451E-2</v>
      </c>
      <c r="N31" s="28">
        <f t="shared" si="31"/>
        <v>-0.14995503597122303</v>
      </c>
      <c r="O31" s="28">
        <f t="shared" si="31"/>
        <v>0.24035087719298262</v>
      </c>
      <c r="P31" s="28">
        <f t="shared" si="31"/>
        <v>-0.1056197688322041</v>
      </c>
      <c r="Q31" s="28">
        <f t="shared" si="31"/>
        <v>-0.25980367113089814</v>
      </c>
      <c r="R31" s="28">
        <f t="shared" si="31"/>
        <v>-0.26600139243443949</v>
      </c>
      <c r="S31" s="28">
        <f t="shared" si="31"/>
        <v>-0.2639654759050587</v>
      </c>
      <c r="T31" s="28">
        <f t="shared" si="31"/>
        <v>-0.26448598130841144</v>
      </c>
      <c r="U31" s="28">
        <f t="shared" si="31"/>
        <v>-0.26407174203396305</v>
      </c>
      <c r="V31" s="28">
        <f t="shared" si="31"/>
        <v>-0.26662997727295878</v>
      </c>
      <c r="W31" s="28">
        <f t="shared" si="31"/>
        <v>-0.26447516236192609</v>
      </c>
      <c r="X31" s="28">
        <f t="shared" si="31"/>
        <v>-0.239996838506985</v>
      </c>
      <c r="Y31" s="28">
        <f t="shared" si="31"/>
        <v>-0.24274367840933647</v>
      </c>
      <c r="Z31" s="28">
        <f t="shared" si="31"/>
        <v>-0.24377746874790845</v>
      </c>
      <c r="AA31" s="28">
        <f t="shared" si="31"/>
        <v>-0.24233117751201358</v>
      </c>
      <c r="AB31" s="28">
        <f t="shared" si="31"/>
        <v>-0.24998950153277605</v>
      </c>
      <c r="AC31" s="28">
        <f t="shared" si="31"/>
        <v>-0.2541014879816863</v>
      </c>
      <c r="AD31" s="28">
        <f t="shared" si="31"/>
        <v>-0.2558062606636719</v>
      </c>
      <c r="AE31" s="28">
        <f t="shared" si="31"/>
        <v>-0.2640023744674907</v>
      </c>
      <c r="AF31" s="28">
        <f t="shared" si="31"/>
        <v>-0.26403180927605913</v>
      </c>
      <c r="AG31" s="28">
        <f t="shared" si="31"/>
        <v>-0.26402237762237762</v>
      </c>
      <c r="AH31" s="28">
        <f t="shared" si="31"/>
        <v>-0.26397801471776872</v>
      </c>
      <c r="AI31" s="28">
        <f t="shared" si="31"/>
        <v>-0.26396160422577752</v>
      </c>
      <c r="AJ31" s="28">
        <f t="shared" si="31"/>
        <v>-0.26275492568268266</v>
      </c>
      <c r="AK31" s="28">
        <f t="shared" si="31"/>
        <v>-0.26364192061758673</v>
      </c>
      <c r="AL31" s="28">
        <f t="shared" si="31"/>
        <v>-0.26670316171758179</v>
      </c>
      <c r="AM31" s="28">
        <f t="shared" si="31"/>
        <v>-0.26679828969356012</v>
      </c>
      <c r="AN31" s="28">
        <f t="shared" si="31"/>
        <v>-0.26706798889130012</v>
      </c>
      <c r="AO31" s="28">
        <f t="shared" si="31"/>
        <v>-0.26684507810821956</v>
      </c>
      <c r="AP31" s="28">
        <f t="shared" si="31"/>
        <v>-0.26697386376848842</v>
      </c>
      <c r="AQ31" s="28">
        <f t="shared" si="31"/>
        <v>-0.2728221574897286</v>
      </c>
      <c r="AR31" s="28">
        <f t="shared" si="31"/>
        <v>-0.26817655255779593</v>
      </c>
      <c r="AS31" s="28">
        <f t="shared" si="31"/>
        <v>-0.28500354482020923</v>
      </c>
      <c r="AT31" s="28">
        <f t="shared" si="31"/>
        <v>-0.28436236574794765</v>
      </c>
      <c r="AU31" s="28">
        <f t="shared" si="31"/>
        <v>-0.28496081089044728</v>
      </c>
      <c r="AV31" s="28">
        <f t="shared" si="31"/>
        <v>-0.10269475744675496</v>
      </c>
      <c r="AW31" s="28">
        <f t="shared" si="31"/>
        <v>-0.22006342267422632</v>
      </c>
      <c r="AX31" s="28">
        <f t="shared" si="31"/>
        <v>-0.17683914175059953</v>
      </c>
      <c r="AY31" s="28">
        <f t="shared" si="31"/>
        <v>-0.21297768626385258</v>
      </c>
      <c r="AZ31" s="28">
        <f t="shared" si="31"/>
        <v>-0.17972641452906446</v>
      </c>
      <c r="BA31" s="28">
        <f t="shared" si="31"/>
        <v>-0.28852476419289619</v>
      </c>
      <c r="BB31" s="28">
        <f t="shared" si="31"/>
        <v>-0.2449680310452983</v>
      </c>
      <c r="BC31" s="28">
        <f t="shared" si="31"/>
        <v>-0.29541552606480936</v>
      </c>
      <c r="BD31" s="28">
        <f t="shared" si="31"/>
        <v>-0.26476721628640021</v>
      </c>
      <c r="BE31" s="28">
        <f t="shared" si="31"/>
        <v>-9.0936627561567548E-2</v>
      </c>
      <c r="BF31" s="28">
        <f t="shared" si="31"/>
        <v>-0.22639039901903041</v>
      </c>
      <c r="BG31" s="28">
        <f t="shared" si="31"/>
        <v>-0.31702294773650153</v>
      </c>
      <c r="BH31" s="28">
        <f t="shared" si="31"/>
        <v>-0.26721741839790414</v>
      </c>
      <c r="BI31" s="28">
        <f t="shared" si="31"/>
        <v>-0.29201492679120794</v>
      </c>
      <c r="BJ31" s="28">
        <f t="shared" si="31"/>
        <v>-0.31523966628264849</v>
      </c>
      <c r="BK31" s="28">
        <f t="shared" si="31"/>
        <v>-0.30005279740154595</v>
      </c>
      <c r="BL31" s="28">
        <f t="shared" si="31"/>
        <v>-0.3073798045798678</v>
      </c>
      <c r="BM31" s="28">
        <f t="shared" si="31"/>
        <v>-0.3018639208939693</v>
      </c>
    </row>
    <row r="32" spans="1:65" s="14" customFormat="1" ht="13">
      <c r="A32" s="18" t="s">
        <v>116</v>
      </c>
      <c r="B32" s="29"/>
      <c r="C32" s="29">
        <f>IFERROR(C26+C28+C29+C30,"n.a.")</f>
        <v>49.500000000000021</v>
      </c>
      <c r="D32" s="29">
        <f>IFERROR(D26+D28+D29+D30,"n.a.")</f>
        <v>18.099999999999927</v>
      </c>
      <c r="E32" s="29">
        <f>IFERROR(E26+E28+E29+E30,"n.a.")</f>
        <v>67.599999999999952</v>
      </c>
      <c r="F32" s="29">
        <f>IFERROR(F26+F28+F29+F30,"n.a.")</f>
        <v>131.30000000000007</v>
      </c>
      <c r="G32" s="29">
        <f>IFERROR(G26+G28+G29+G30-0.1,"n.a.")</f>
        <v>198.79999999999998</v>
      </c>
      <c r="H32" s="29">
        <f t="shared" ref="H32:Y32" si="32">IFERROR(H26+H28+H29+H30,"n.a.")</f>
        <v>64.387000000000029</v>
      </c>
      <c r="I32" s="29">
        <f t="shared" si="32"/>
        <v>263.28699999999986</v>
      </c>
      <c r="J32" s="29">
        <f t="shared" si="32"/>
        <v>92.40000000000002</v>
      </c>
      <c r="K32" s="29">
        <f t="shared" si="32"/>
        <v>89.500000000000043</v>
      </c>
      <c r="L32" s="29">
        <f t="shared" si="32"/>
        <v>181.89999999999998</v>
      </c>
      <c r="M32" s="29">
        <f t="shared" si="32"/>
        <v>196.2</v>
      </c>
      <c r="N32" s="29">
        <f t="shared" si="32"/>
        <v>378.1</v>
      </c>
      <c r="O32" s="29">
        <f t="shared" si="32"/>
        <v>70.699999999999974</v>
      </c>
      <c r="P32" s="29">
        <f t="shared" si="32"/>
        <v>448.79999999999984</v>
      </c>
      <c r="Q32" s="29">
        <f t="shared" si="32"/>
        <v>101.41799999999998</v>
      </c>
      <c r="R32" s="29">
        <f t="shared" si="32"/>
        <v>205.58199999999999</v>
      </c>
      <c r="S32" s="29">
        <f t="shared" si="32"/>
        <v>307</v>
      </c>
      <c r="T32" s="29">
        <f t="shared" si="32"/>
        <v>78.699999999999946</v>
      </c>
      <c r="U32" s="29">
        <f t="shared" si="32"/>
        <v>385.69999999999993</v>
      </c>
      <c r="V32" s="29">
        <f t="shared" si="32"/>
        <v>71.95900000000006</v>
      </c>
      <c r="W32" s="29">
        <f t="shared" si="32"/>
        <v>457.65899999999999</v>
      </c>
      <c r="X32" s="29">
        <f t="shared" si="32"/>
        <v>38.462999999999987</v>
      </c>
      <c r="Y32" s="29">
        <f t="shared" si="32"/>
        <v>-140.15300000000002</v>
      </c>
      <c r="Z32" s="29">
        <f>IFERROR(Z26+Z28+Z29+Z30-0.019,"n.a.")</f>
        <v>-101.709</v>
      </c>
      <c r="AA32" s="29">
        <f>IFERROR(AA26+AA28+AA29+AA30,"n.a.")</f>
        <v>83.88</v>
      </c>
      <c r="AB32" s="29">
        <f>IFERROR(AB26+AB28+AB29+AB30+0.1,"n.a.")</f>
        <v>-17.760000000000016</v>
      </c>
      <c r="AC32" s="29">
        <f>IFERROR(AC26+AC28+AC29+AC30,"n.a.")</f>
        <v>60.605000000000018</v>
      </c>
      <c r="AD32" s="29">
        <f>IFERROR(AD26+AD28+AD29+AD30,"n.a.")</f>
        <v>42.745000000000047</v>
      </c>
      <c r="AE32" s="29">
        <f>IFERROR(AE26+AE28+AE29+AE30,"n.a.")</f>
        <v>42.155000000000008</v>
      </c>
      <c r="AF32" s="29">
        <f>IFERROR(AF26+AF28+AF29+AF30,"n.a.")</f>
        <v>89.400999999999982</v>
      </c>
      <c r="AG32" s="29">
        <f>IFERROR(AG26+AG28+AG29+AG30,"n.a.")</f>
        <v>131.55599999999998</v>
      </c>
      <c r="AH32" s="29">
        <f>IFERROR(AH26+AH28+AH29+AH30-0.1,"n.a.")</f>
        <v>104.61900000000006</v>
      </c>
      <c r="AI32" s="29">
        <f>IFERROR(AI26+AI28+AI29+AI30-0.1,"n.a.")</f>
        <v>236.22500000000011</v>
      </c>
      <c r="AJ32" s="29">
        <f>IFERROR(AJ26+AJ28+AJ29+AJ30+0.1,"n.a.")</f>
        <v>85.413999999999874</v>
      </c>
      <c r="AK32" s="29">
        <f>IFERROR(AK26+AK28+AK29+AK30,"n.a.")</f>
        <v>321.63899999999984</v>
      </c>
      <c r="AL32" s="29">
        <f>IFERROR(AL26+AL28+AL29+AL30,"n.a.")</f>
        <v>109.84199999999997</v>
      </c>
      <c r="AM32" s="29">
        <f>IFERROR(AM26+AM28+AM29+AM30,"n.a.")</f>
        <v>123.29300000000003</v>
      </c>
      <c r="AN32" s="29">
        <f>IFERROR(AN26+AN28+AN29+AN30,"n.a.")</f>
        <v>233.03500000000008</v>
      </c>
      <c r="AO32" s="29">
        <f>IFERROR(AO26+AO28+AO29+AO30-0.1,"n.a.")</f>
        <v>126.19399999999997</v>
      </c>
      <c r="AP32" s="29">
        <f>IFERROR(AP26+AP28+AP29+AP30-0.1,"n.a.")</f>
        <v>359.25800000000004</v>
      </c>
      <c r="AQ32" s="29">
        <f>IFERROR(AQ26+AQ28+AQ29+AQ30+0.1,"n.a.")</f>
        <v>76.738000000000056</v>
      </c>
      <c r="AR32" s="29">
        <f>IFERROR(AR26+AR28+AR29+AR30,"n.a.")</f>
        <v>435.89600000000007</v>
      </c>
      <c r="AS32" s="29">
        <f>IFERROR(AS26+AS28+AS29+AS30,"n.a.")</f>
        <v>114.97</v>
      </c>
      <c r="AT32" s="29">
        <f>IFERROR(AT26+AT28+AT29+AT30,"n.a.")</f>
        <v>127.80000000000001</v>
      </c>
      <c r="AU32" s="29">
        <f>IFERROR(AU26+AU28+AU29+AU30-0.1,"n.a.")</f>
        <v>242.57000000000002</v>
      </c>
      <c r="AV32" s="29">
        <f>IFERROR(AV26+AV28+AV29+AV30+0.1,"n.a.")</f>
        <v>168.44725100000394</v>
      </c>
      <c r="AW32" s="29">
        <f>IFERROR(AW26+AW28+AW29+AW30,"n.a.")</f>
        <v>411.0392510000039</v>
      </c>
      <c r="AX32" s="29">
        <f>IFERROR(AX26+AX28+AX29+AX30+0.1,"n.a.")</f>
        <v>84.916985286866364</v>
      </c>
      <c r="AY32" s="29">
        <f>IFERROR(AY26+AY28+AY29+AY30,"n.a.")</f>
        <v>495.90623628687035</v>
      </c>
      <c r="AZ32" s="29">
        <f>IFERROR(AZ26+AZ28+AZ29+AZ30,"n.a.")</f>
        <v>100.39862604289803</v>
      </c>
      <c r="BA32" s="29">
        <f>IFERROR(BA26+BA28+BA29+BA30,"n.a.")+0.1</f>
        <v>130.93637395710198</v>
      </c>
      <c r="BB32" s="29">
        <f>IFERROR(BB26+BB28+BB29+BB30,"n.a.")</f>
        <v>231.33500000000004</v>
      </c>
      <c r="BC32" s="29">
        <f>IFERROR(BC26+BC28+BC29+BC30,"n.a.")</f>
        <v>139.76440620770921</v>
      </c>
      <c r="BD32" s="29">
        <f>IFERROR(BD26+BD28+BD29+BD30,"n.a.")</f>
        <v>371.14940620770926</v>
      </c>
      <c r="BE32" s="29">
        <f>IFERROR(BE26+BE28+BE29+BE30,"n.a.")+0.1</f>
        <v>130.03976786143099</v>
      </c>
      <c r="BF32" s="29">
        <f>IFERROR(BF26+BF28+BF29+BF30,"n.a.")</f>
        <v>501.13917406914038</v>
      </c>
      <c r="BG32" s="29">
        <f>IFERROR(BG26+BG28+BG29+BG30,"n.a.")</f>
        <v>127.152435037987</v>
      </c>
      <c r="BH32" s="29">
        <f>IFERROR(BH26+BH28+BH29+BH30,"n.a.")+0.1</f>
        <v>136.82014356147269</v>
      </c>
      <c r="BI32" s="29">
        <f>IFERROR(BI26+BI28+BI29+BI30,"n.a.")</f>
        <v>263.97257859945967</v>
      </c>
      <c r="BJ32" s="29">
        <f>IFERROR(BJ26+BJ28+BJ29+BJ30,"n.a.")+0.1</f>
        <v>136.58113345384683</v>
      </c>
      <c r="BK32" s="29">
        <f>IFERROR(BK26+BK28+BK29+BK30,"n.a.")</f>
        <v>400.55371205330653</v>
      </c>
      <c r="BL32" s="29">
        <f>IFERROR(BM32-BK32,"n.a.")</f>
        <v>130.14383303391696</v>
      </c>
      <c r="BM32" s="29">
        <f>IFERROR(BM26+BM28+BM29+BM30,"n.a.")</f>
        <v>530.69754508722349</v>
      </c>
    </row>
    <row r="33" spans="1:65" hidden="1" outlineLevel="1">
      <c r="A33" s="39" t="s">
        <v>26</v>
      </c>
      <c r="B33" s="30"/>
      <c r="C33" s="30">
        <v>-76.599999999999994</v>
      </c>
      <c r="D33" s="50" t="s">
        <v>164</v>
      </c>
      <c r="E33" s="30" t="s">
        <v>164</v>
      </c>
      <c r="F33" s="50" t="s">
        <v>164</v>
      </c>
      <c r="G33" s="30">
        <v>-75</v>
      </c>
      <c r="H33" s="50">
        <f>I33-G33</f>
        <v>-12.561999999999998</v>
      </c>
      <c r="I33" s="47">
        <f>'Fin. Highlights - FY'!C33</f>
        <v>-87.561999999999998</v>
      </c>
      <c r="J33" s="30">
        <v>-3.339</v>
      </c>
      <c r="K33" s="50">
        <f>IFERROR(L33-J33,"n.a.")</f>
        <v>-1.4029999999999991</v>
      </c>
      <c r="L33" s="30">
        <v>-4.7419999999999991</v>
      </c>
      <c r="M33" s="50">
        <f>IFERROR(N33-L33,"n.a.")</f>
        <v>-1.9580000000000011</v>
      </c>
      <c r="N33" s="30">
        <v>-6.7</v>
      </c>
      <c r="O33" s="50">
        <f>IFERROR(P33-N33,"n.a.")</f>
        <v>0.29100000000000037</v>
      </c>
      <c r="P33" s="47">
        <f>'Fin. Highlights - FY'!D33</f>
        <v>-6.4089999999999998</v>
      </c>
      <c r="Q33" s="30">
        <v>0</v>
      </c>
      <c r="R33" s="50">
        <f>IFERROR(S33-Q33,"n.a.")</f>
        <v>0</v>
      </c>
      <c r="S33" s="30">
        <v>0</v>
      </c>
      <c r="T33" s="50">
        <f>IFERROR(U33-S33,"n.a.")</f>
        <v>0</v>
      </c>
      <c r="U33" s="30">
        <v>0</v>
      </c>
      <c r="V33" s="50">
        <f>IFERROR(W33-U33,"n.a.")</f>
        <v>0</v>
      </c>
      <c r="W33" s="47">
        <f>'Fin. Highlights - FY'!E33</f>
        <v>0</v>
      </c>
      <c r="X33" s="30">
        <v>0</v>
      </c>
      <c r="Y33" s="50">
        <f>IFERROR(Z33-X33,"n.a.")</f>
        <v>0</v>
      </c>
      <c r="Z33" s="30">
        <v>0</v>
      </c>
      <c r="AA33" s="50">
        <f>IFERROR(AB33-Z33,"n.a.")</f>
        <v>0</v>
      </c>
      <c r="AB33" s="30">
        <v>0</v>
      </c>
      <c r="AC33" s="50">
        <f>IFERROR(AD33-AB33,"n.a.")</f>
        <v>0</v>
      </c>
      <c r="AD33" s="47">
        <f>'Fin. Highlights - FY'!F33</f>
        <v>0</v>
      </c>
      <c r="AE33" s="30">
        <v>0</v>
      </c>
      <c r="AF33" s="50">
        <f>IFERROR(AG33-AE33,"n.a.")</f>
        <v>0</v>
      </c>
      <c r="AG33" s="30">
        <v>0</v>
      </c>
      <c r="AH33" s="50">
        <f>IFERROR(AI33-AG33,"n.a.")</f>
        <v>0</v>
      </c>
      <c r="AI33" s="30">
        <v>0</v>
      </c>
      <c r="AJ33" s="50">
        <f>IFERROR(AK33-AI33,"n.a.")</f>
        <v>0</v>
      </c>
      <c r="AK33" s="47">
        <f>'Fin. Highlights - FY'!G33</f>
        <v>0</v>
      </c>
      <c r="AL33" s="30">
        <v>0</v>
      </c>
      <c r="AM33" s="50">
        <f>IFERROR(AN33-AL33,"n.a.")</f>
        <v>0</v>
      </c>
      <c r="AN33" s="30">
        <v>0</v>
      </c>
      <c r="AO33" s="50">
        <f>IFERROR(AP33-AN33,"n.a.")</f>
        <v>0</v>
      </c>
      <c r="AP33" s="30">
        <v>0</v>
      </c>
      <c r="AQ33" s="50">
        <f>IFERROR(AR33-AP33,"n.a.")</f>
        <v>0</v>
      </c>
      <c r="AR33" s="47">
        <f>'Fin. Highlights - FY'!H33</f>
        <v>0</v>
      </c>
      <c r="AS33" s="50">
        <v>0</v>
      </c>
      <c r="AT33" s="50">
        <f>IFERROR(AU33-AS33,"n.a.")</f>
        <v>0</v>
      </c>
      <c r="AU33" s="30">
        <v>0</v>
      </c>
      <c r="AV33" s="50">
        <f>IFERROR(AW33-AU33,"n.a.")</f>
        <v>0</v>
      </c>
      <c r="AW33" s="30">
        <v>0</v>
      </c>
      <c r="AX33" s="50">
        <f>IFERROR(AY33-AW33,"n.a.")</f>
        <v>0</v>
      </c>
      <c r="AY33" s="30">
        <v>0</v>
      </c>
      <c r="AZ33" s="50">
        <v>0</v>
      </c>
      <c r="BA33" s="50">
        <f>IFERROR(BB33-AZ33,"n.a.")</f>
        <v>0</v>
      </c>
      <c r="BB33" s="30">
        <v>0</v>
      </c>
      <c r="BC33" s="50">
        <f>IFERROR(BD33-BB33,"n.a.")</f>
        <v>0</v>
      </c>
      <c r="BD33" s="30">
        <v>0</v>
      </c>
      <c r="BE33" s="50">
        <f>IFERROR(BF33-BD33,"n.a.")</f>
        <v>0</v>
      </c>
      <c r="BF33" s="50">
        <v>0</v>
      </c>
      <c r="BG33" s="50">
        <v>0</v>
      </c>
      <c r="BH33" s="50">
        <f>IFERROR(BI33-BG33,"n.a.")</f>
        <v>0</v>
      </c>
      <c r="BI33" s="30">
        <v>0</v>
      </c>
      <c r="BJ33" s="50">
        <f>IFERROR(BK33-BI33,"n.a.")</f>
        <v>0</v>
      </c>
      <c r="BK33" s="30">
        <v>0</v>
      </c>
      <c r="BL33" s="50">
        <f>IFERROR(BM33-BK33,"n.a.")</f>
        <v>0</v>
      </c>
      <c r="BM33" s="30">
        <v>0</v>
      </c>
    </row>
    <row r="34" spans="1:65" s="14" customFormat="1" ht="13" collapsed="1">
      <c r="A34" s="18" t="s">
        <v>241</v>
      </c>
      <c r="B34" s="29"/>
      <c r="C34" s="29">
        <f t="shared" ref="C34:U34" si="33">IFERROR(C32+C33,"n.a.")</f>
        <v>-27.099999999999973</v>
      </c>
      <c r="D34" s="29" t="str">
        <f t="shared" si="33"/>
        <v>n.a.</v>
      </c>
      <c r="E34" s="29" t="str">
        <f t="shared" si="33"/>
        <v>n.a.</v>
      </c>
      <c r="F34" s="29" t="str">
        <f t="shared" si="33"/>
        <v>n.a.</v>
      </c>
      <c r="G34" s="29">
        <f t="shared" si="33"/>
        <v>123.79999999999998</v>
      </c>
      <c r="H34" s="29">
        <f t="shared" si="33"/>
        <v>51.825000000000031</v>
      </c>
      <c r="I34" s="29">
        <f t="shared" si="33"/>
        <v>175.72499999999985</v>
      </c>
      <c r="J34" s="29">
        <f t="shared" si="33"/>
        <v>89.061000000000021</v>
      </c>
      <c r="K34" s="29">
        <f t="shared" si="33"/>
        <v>88.097000000000037</v>
      </c>
      <c r="L34" s="29">
        <f t="shared" si="33"/>
        <v>177.15799999999999</v>
      </c>
      <c r="M34" s="29">
        <f t="shared" si="33"/>
        <v>194.24199999999999</v>
      </c>
      <c r="N34" s="29">
        <f t="shared" si="33"/>
        <v>371.40000000000003</v>
      </c>
      <c r="O34" s="29">
        <f t="shared" si="33"/>
        <v>70.990999999999971</v>
      </c>
      <c r="P34" s="29">
        <f t="shared" si="33"/>
        <v>442.39099999999985</v>
      </c>
      <c r="Q34" s="29">
        <f t="shared" si="33"/>
        <v>101.41799999999998</v>
      </c>
      <c r="R34" s="29">
        <f t="shared" si="33"/>
        <v>205.58199999999999</v>
      </c>
      <c r="S34" s="29">
        <f t="shared" si="33"/>
        <v>307</v>
      </c>
      <c r="T34" s="29">
        <f t="shared" si="33"/>
        <v>78.699999999999946</v>
      </c>
      <c r="U34" s="29">
        <f t="shared" si="33"/>
        <v>385.69999999999993</v>
      </c>
      <c r="V34" s="29">
        <f t="shared" ref="V34:AC34" si="34">IFERROR(V32+V33,"n.a.")</f>
        <v>71.95900000000006</v>
      </c>
      <c r="W34" s="29">
        <f t="shared" si="34"/>
        <v>457.65899999999999</v>
      </c>
      <c r="X34" s="29">
        <f t="shared" si="34"/>
        <v>38.462999999999987</v>
      </c>
      <c r="Y34" s="29">
        <f t="shared" si="34"/>
        <v>-140.15300000000002</v>
      </c>
      <c r="Z34" s="29">
        <f t="shared" si="34"/>
        <v>-101.709</v>
      </c>
      <c r="AA34" s="29">
        <f t="shared" si="34"/>
        <v>83.88</v>
      </c>
      <c r="AB34" s="29">
        <f t="shared" si="34"/>
        <v>-17.760000000000016</v>
      </c>
      <c r="AC34" s="29">
        <f t="shared" si="34"/>
        <v>60.605000000000018</v>
      </c>
      <c r="AD34" s="29">
        <f t="shared" ref="AD34:AW34" si="35">IFERROR(AD32+AD33,"n.a.")</f>
        <v>42.745000000000047</v>
      </c>
      <c r="AE34" s="29">
        <f t="shared" si="35"/>
        <v>42.155000000000008</v>
      </c>
      <c r="AF34" s="29">
        <f t="shared" si="35"/>
        <v>89.400999999999982</v>
      </c>
      <c r="AG34" s="29">
        <f t="shared" si="35"/>
        <v>131.55599999999998</v>
      </c>
      <c r="AH34" s="29">
        <f t="shared" si="35"/>
        <v>104.61900000000006</v>
      </c>
      <c r="AI34" s="29">
        <f t="shared" si="35"/>
        <v>236.22500000000011</v>
      </c>
      <c r="AJ34" s="29">
        <f t="shared" si="35"/>
        <v>85.413999999999874</v>
      </c>
      <c r="AK34" s="29">
        <f t="shared" si="35"/>
        <v>321.63899999999984</v>
      </c>
      <c r="AL34" s="29">
        <f t="shared" si="35"/>
        <v>109.84199999999997</v>
      </c>
      <c r="AM34" s="29">
        <f t="shared" si="35"/>
        <v>123.29300000000003</v>
      </c>
      <c r="AN34" s="29">
        <f t="shared" si="35"/>
        <v>233.03500000000008</v>
      </c>
      <c r="AO34" s="29">
        <f t="shared" si="35"/>
        <v>126.19399999999997</v>
      </c>
      <c r="AP34" s="29">
        <f t="shared" si="35"/>
        <v>359.25800000000004</v>
      </c>
      <c r="AQ34" s="29">
        <f t="shared" si="35"/>
        <v>76.738000000000056</v>
      </c>
      <c r="AR34" s="29">
        <f t="shared" si="35"/>
        <v>435.89600000000007</v>
      </c>
      <c r="AS34" s="29">
        <f t="shared" si="35"/>
        <v>114.97</v>
      </c>
      <c r="AT34" s="29">
        <f t="shared" si="35"/>
        <v>127.80000000000001</v>
      </c>
      <c r="AU34" s="29">
        <f t="shared" si="35"/>
        <v>242.57000000000002</v>
      </c>
      <c r="AV34" s="29">
        <f t="shared" si="35"/>
        <v>168.44725100000394</v>
      </c>
      <c r="AW34" s="29">
        <f t="shared" si="35"/>
        <v>411.0392510000039</v>
      </c>
      <c r="AX34" s="29">
        <f t="shared" ref="AX34:BD34" si="36">IFERROR(AX32+AX33,"n.a.")</f>
        <v>84.916985286866364</v>
      </c>
      <c r="AY34" s="29">
        <f t="shared" si="36"/>
        <v>495.90623628687035</v>
      </c>
      <c r="AZ34" s="29">
        <f t="shared" si="36"/>
        <v>100.39862604289803</v>
      </c>
      <c r="BA34" s="29">
        <f t="shared" si="36"/>
        <v>130.93637395710198</v>
      </c>
      <c r="BB34" s="29">
        <f t="shared" si="36"/>
        <v>231.33500000000004</v>
      </c>
      <c r="BC34" s="29">
        <f t="shared" si="36"/>
        <v>139.76440620770921</v>
      </c>
      <c r="BD34" s="29">
        <f t="shared" si="36"/>
        <v>371.14940620770926</v>
      </c>
      <c r="BE34" s="29">
        <f t="shared" ref="BE34" si="37">IFERROR(BE32+BE33,"n.a.")</f>
        <v>130.03976786143099</v>
      </c>
      <c r="BF34" s="29">
        <f t="shared" ref="BF34:BI34" si="38">IFERROR(BF32+BF33,"n.a.")</f>
        <v>501.13917406914038</v>
      </c>
      <c r="BG34" s="29">
        <f t="shared" si="38"/>
        <v>127.152435037987</v>
      </c>
      <c r="BH34" s="29">
        <f t="shared" si="38"/>
        <v>136.82014356147269</v>
      </c>
      <c r="BI34" s="29">
        <f t="shared" si="38"/>
        <v>263.97257859945967</v>
      </c>
      <c r="BJ34" s="29">
        <f t="shared" ref="BJ34:BK34" si="39">IFERROR(BJ32+BJ33,"n.a.")</f>
        <v>136.58113345384683</v>
      </c>
      <c r="BK34" s="29">
        <f t="shared" si="39"/>
        <v>400.55371205330653</v>
      </c>
      <c r="BL34" s="29">
        <f t="shared" ref="BL34" si="40">IFERROR(BL32+BL33,"n.a.")</f>
        <v>130.14383303391696</v>
      </c>
      <c r="BM34" s="29">
        <f t="shared" ref="BM34" si="41">IFERROR(BM32+BM33,"n.a.")</f>
        <v>530.69754508722349</v>
      </c>
    </row>
    <row r="35" spans="1:65">
      <c r="A35" s="39" t="s">
        <v>24</v>
      </c>
      <c r="B35" s="45"/>
      <c r="C35" s="45">
        <v>0.8</v>
      </c>
      <c r="D35" s="50" t="s">
        <v>164</v>
      </c>
      <c r="E35" s="45">
        <v>0.6</v>
      </c>
      <c r="F35" s="50" t="s">
        <v>164</v>
      </c>
      <c r="G35" s="45">
        <v>0.3</v>
      </c>
      <c r="H35" s="50">
        <f>I35-G35</f>
        <v>-0.9850000000000001</v>
      </c>
      <c r="I35" s="47">
        <f>'Fin. Highlights - FY'!C35</f>
        <v>-0.68500000000000005</v>
      </c>
      <c r="J35" s="45">
        <v>-1.3</v>
      </c>
      <c r="K35" s="50">
        <f>IFERROR(L35-J35,"n.a.")</f>
        <v>6.5</v>
      </c>
      <c r="L35" s="45">
        <v>5.2</v>
      </c>
      <c r="M35" s="50">
        <f>IFERROR(N35-L35,"n.a.")</f>
        <v>3.7</v>
      </c>
      <c r="N35" s="45">
        <v>8.9</v>
      </c>
      <c r="O35" s="50">
        <f>IFERROR(P35-N35,"n.a.")</f>
        <v>1.9000000000000004</v>
      </c>
      <c r="P35" s="47">
        <f>'Fin. Highlights - FY'!D35</f>
        <v>10.8</v>
      </c>
      <c r="Q35" s="45">
        <v>3.8</v>
      </c>
      <c r="R35" s="50">
        <f>IFERROR(S35-Q35,"n.a.")</f>
        <v>5.3</v>
      </c>
      <c r="S35" s="45">
        <v>9.1</v>
      </c>
      <c r="T35" s="50">
        <f>IFERROR(U35-S35,"n.a.")</f>
        <v>3.9000000000000004</v>
      </c>
      <c r="U35" s="45">
        <v>13</v>
      </c>
      <c r="V35" s="50">
        <f>IFERROR(W35-U35,"n.a.")</f>
        <v>6.6000000000000014</v>
      </c>
      <c r="W35" s="47">
        <f>'Fin. Highlights - FY'!E35</f>
        <v>19.600000000000001</v>
      </c>
      <c r="X35" s="45">
        <v>1.3</v>
      </c>
      <c r="Y35" s="50">
        <f>IFERROR(Z35-X35,"n.a.")</f>
        <v>0.30000000000000004</v>
      </c>
      <c r="Z35" s="45">
        <v>1.6</v>
      </c>
      <c r="AA35" s="50">
        <f>IFERROR(AB35-Z35,"n.a.")</f>
        <v>4.1240000000000006</v>
      </c>
      <c r="AB35" s="45">
        <v>5.7240000000000002</v>
      </c>
      <c r="AC35" s="50">
        <f>IFERROR(AD35-AB35,"n.a.")</f>
        <v>7.1760000000000002</v>
      </c>
      <c r="AD35" s="47">
        <f>'Fin. Highlights - FY'!F35</f>
        <v>12.9</v>
      </c>
      <c r="AE35" s="45">
        <v>3.2</v>
      </c>
      <c r="AF35" s="50">
        <f>IFERROR(AG35-AE35,"n.a.")</f>
        <v>5.2429999999999994</v>
      </c>
      <c r="AG35" s="45">
        <v>8.4429999999999996</v>
      </c>
      <c r="AH35" s="50">
        <f>IFERROR(AI35-AG35,"n.a.")</f>
        <v>-2.7189999999999994</v>
      </c>
      <c r="AI35" s="45">
        <v>5.7240000000000002</v>
      </c>
      <c r="AJ35" s="50">
        <f>IFERROR(AK35-AI35,"n.a.")</f>
        <v>13.076000000000001</v>
      </c>
      <c r="AK35" s="47">
        <f>'Fin. Highlights - FY'!G35</f>
        <v>18.8</v>
      </c>
      <c r="AL35" s="45">
        <v>2.2999999999999998</v>
      </c>
      <c r="AM35" s="50">
        <f>IFERROR(AN35-AL35,"n.a.")</f>
        <v>9.3000000000000007</v>
      </c>
      <c r="AN35" s="45">
        <v>11.6</v>
      </c>
      <c r="AO35" s="50">
        <f>AP35-AN35</f>
        <v>9.2999999999999989</v>
      </c>
      <c r="AP35" s="45">
        <v>20.9</v>
      </c>
      <c r="AQ35" s="50">
        <f>IFERROR(AR35-AP35,"n.a.")</f>
        <v>-2.759999999999998</v>
      </c>
      <c r="AR35" s="47">
        <f>'Fin. Highlights - FY'!H35</f>
        <v>18.14</v>
      </c>
      <c r="AS35" s="50">
        <v>3.4</v>
      </c>
      <c r="AT35" s="50">
        <f>IFERROR(AU35-AS35,"n.a.")</f>
        <v>7.1399999999999988</v>
      </c>
      <c r="AU35" s="45">
        <v>10.54</v>
      </c>
      <c r="AV35" s="50">
        <f>AW35-AU35</f>
        <v>7.4550370000000008</v>
      </c>
      <c r="AW35" s="45">
        <v>17.995037</v>
      </c>
      <c r="AX35" s="50">
        <f>AY35-AW35</f>
        <v>-1.1888007131295986</v>
      </c>
      <c r="AY35" s="45">
        <f>+'Fin. Highlights - FY'!I35</f>
        <v>16.806236286870401</v>
      </c>
      <c r="AZ35" s="50">
        <v>6.6986260428980602</v>
      </c>
      <c r="BA35" s="50">
        <f>IFERROR(BB35-AZ35,"n.a.")</f>
        <v>9.00137395710194</v>
      </c>
      <c r="BB35" s="45">
        <v>15.7</v>
      </c>
      <c r="BC35" s="50">
        <f>BD35-BB35</f>
        <v>9</v>
      </c>
      <c r="BD35" s="45">
        <v>24.7</v>
      </c>
      <c r="BE35" s="50">
        <f>BF35-BD35</f>
        <v>8.422660000000004</v>
      </c>
      <c r="BF35" s="50">
        <f>+'Fin. Highlights - FY'!J35</f>
        <v>33.122660000000003</v>
      </c>
      <c r="BG35" s="50">
        <v>8.4</v>
      </c>
      <c r="BH35" s="50">
        <f>IFERROR(BI35-BG35,"n.a.")</f>
        <v>9.0807650000000013</v>
      </c>
      <c r="BI35" s="45">
        <v>17.480765000000002</v>
      </c>
      <c r="BJ35" s="50">
        <f>IFERROR(BK35-BI35,"n.a.")</f>
        <v>8.5390559999999986</v>
      </c>
      <c r="BK35" s="45">
        <v>26.019821</v>
      </c>
      <c r="BL35" s="50">
        <f>IFERROR(BM35-BK35,"n.a.")</f>
        <v>7.1777240872234884</v>
      </c>
      <c r="BM35" s="45">
        <f>+'Fin. Highlights - FY'!K35</f>
        <v>33.197545087223489</v>
      </c>
    </row>
    <row r="36" spans="1:65">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row>
    <row r="37" spans="1:65" hidden="1" outlineLevel="1">
      <c r="A37" s="19" t="s">
        <v>350</v>
      </c>
      <c r="B37" s="23"/>
      <c r="C37" s="49">
        <f>IFERROR(-(C23+C24),"n.a.")</f>
        <v>36.299999999999997</v>
      </c>
      <c r="D37" s="49" t="s">
        <v>137</v>
      </c>
      <c r="E37" s="49">
        <f>IFERROR(-(E23+E24),"n.a.")</f>
        <v>98</v>
      </c>
      <c r="F37" s="49" t="s">
        <v>137</v>
      </c>
      <c r="G37" s="49">
        <f t="shared" ref="G37:AC37" si="42">IFERROR(-(G23+G24),"n.a.")</f>
        <v>101.10000000000001</v>
      </c>
      <c r="H37" s="49">
        <f t="shared" si="42"/>
        <v>101.69999999999999</v>
      </c>
      <c r="I37" s="49">
        <f t="shared" si="42"/>
        <v>202.8</v>
      </c>
      <c r="J37" s="49">
        <f t="shared" si="42"/>
        <v>34.4</v>
      </c>
      <c r="K37" s="49">
        <f t="shared" si="42"/>
        <v>38</v>
      </c>
      <c r="L37" s="49">
        <f t="shared" si="42"/>
        <v>72.399999999999991</v>
      </c>
      <c r="M37" s="49">
        <f t="shared" si="42"/>
        <v>36.300000000000004</v>
      </c>
      <c r="N37" s="49">
        <f t="shared" si="42"/>
        <v>108.7</v>
      </c>
      <c r="O37" s="49">
        <f t="shared" si="42"/>
        <v>143.19999999999999</v>
      </c>
      <c r="P37" s="49">
        <f t="shared" si="42"/>
        <v>251.9</v>
      </c>
      <c r="Q37" s="49">
        <f t="shared" si="42"/>
        <v>36.097999999999999</v>
      </c>
      <c r="R37" s="49">
        <f t="shared" si="42"/>
        <v>-20.597999999999999</v>
      </c>
      <c r="S37" s="49">
        <f t="shared" si="42"/>
        <v>15.5</v>
      </c>
      <c r="T37" s="49">
        <f t="shared" si="42"/>
        <v>71.599999999999994</v>
      </c>
      <c r="U37" s="49">
        <f t="shared" si="42"/>
        <v>87.1</v>
      </c>
      <c r="V37" s="49">
        <f t="shared" si="42"/>
        <v>87.49499999999999</v>
      </c>
      <c r="W37" s="49">
        <f t="shared" si="42"/>
        <v>174.595</v>
      </c>
      <c r="X37" s="49">
        <f t="shared" si="42"/>
        <v>52.698999999999998</v>
      </c>
      <c r="Y37" s="49">
        <f t="shared" si="42"/>
        <v>70.751000000000005</v>
      </c>
      <c r="Z37" s="49">
        <f t="shared" si="42"/>
        <v>123.45</v>
      </c>
      <c r="AA37" s="49">
        <f t="shared" si="42"/>
        <v>61.349999999999994</v>
      </c>
      <c r="AB37" s="49">
        <f t="shared" si="42"/>
        <v>184.8</v>
      </c>
      <c r="AC37" s="49">
        <f t="shared" si="42"/>
        <v>97.242000000000004</v>
      </c>
      <c r="AD37" s="49">
        <f>IFERROR(-(AD23+AD24)+0.05,"n.a.")</f>
        <v>282.09200000000004</v>
      </c>
      <c r="AE37" s="49">
        <f>IFERROR(-(AE23+AE24),"n.a.")</f>
        <v>71.38300000000001</v>
      </c>
      <c r="AF37" s="49">
        <f>IFERROR(-(AF23+AF24),"n.a.")</f>
        <v>57.379999999999995</v>
      </c>
      <c r="AG37" s="49">
        <f>IFERROR(-(AG23+AG24),"n.a.")</f>
        <v>128.76300000000001</v>
      </c>
      <c r="AH37" s="49">
        <f>IFERROR(-(AH23+AH24),"n.a.")</f>
        <v>43.717000000000006</v>
      </c>
      <c r="AI37" s="49">
        <f>IFERROR(-(AI23+AI24)-0.05,"n.a.")</f>
        <v>172.43</v>
      </c>
      <c r="AJ37" s="49">
        <f t="shared" ref="AJ37:AO37" si="43">IFERROR(-(AJ23+AJ24),"n.a.")</f>
        <v>66.200999999999993</v>
      </c>
      <c r="AK37" s="49">
        <f t="shared" si="43"/>
        <v>238.68099999999998</v>
      </c>
      <c r="AL37" s="49">
        <f t="shared" si="43"/>
        <v>35.878999999999998</v>
      </c>
      <c r="AM37" s="49">
        <f t="shared" si="43"/>
        <v>40.454999999999998</v>
      </c>
      <c r="AN37" s="49">
        <f t="shared" si="43"/>
        <v>76.334000000000003</v>
      </c>
      <c r="AO37" s="49">
        <f t="shared" si="43"/>
        <v>44.898000000000003</v>
      </c>
      <c r="AP37" s="49">
        <f>IFERROR(-(AP23+AP24)+0.1,"n.a.")</f>
        <v>121.33199999999999</v>
      </c>
      <c r="AQ37" s="49">
        <f>IFERROR(-(AQ23+AQ24)-0.1,"n.a.")</f>
        <v>64.972999999999999</v>
      </c>
      <c r="AR37" s="49">
        <f t="shared" ref="AR37:BI37" si="44">IFERROR(-(AR23+AR24),"n.a.")</f>
        <v>186.30500000000001</v>
      </c>
      <c r="AS37" s="49">
        <f t="shared" si="44"/>
        <v>37.405999999999999</v>
      </c>
      <c r="AT37" s="49">
        <f t="shared" si="44"/>
        <v>39.974000000000004</v>
      </c>
      <c r="AU37" s="49">
        <f t="shared" si="44"/>
        <v>77.38</v>
      </c>
      <c r="AV37" s="49">
        <f t="shared" si="44"/>
        <v>36.846320136198102</v>
      </c>
      <c r="AW37" s="49">
        <f t="shared" si="44"/>
        <v>114.2263201361981</v>
      </c>
      <c r="AX37" s="49">
        <f t="shared" si="44"/>
        <v>79.232324778446497</v>
      </c>
      <c r="AY37" s="49">
        <f t="shared" si="44"/>
        <v>193.45864491464459</v>
      </c>
      <c r="AZ37" s="49">
        <f t="shared" si="44"/>
        <v>36.109067354577945</v>
      </c>
      <c r="BA37" s="49">
        <f t="shared" si="44"/>
        <v>36.420932645422056</v>
      </c>
      <c r="BB37" s="49">
        <f t="shared" si="44"/>
        <v>72.430000000000007</v>
      </c>
      <c r="BC37" s="49">
        <f t="shared" si="44"/>
        <v>35.662458248731305</v>
      </c>
      <c r="BD37" s="49">
        <f t="shared" si="44"/>
        <v>108.0924582487313</v>
      </c>
      <c r="BE37" s="49">
        <f t="shared" si="44"/>
        <v>49.44681600459289</v>
      </c>
      <c r="BF37" s="49">
        <f t="shared" si="44"/>
        <v>157.53927425332421</v>
      </c>
      <c r="BG37" s="49">
        <f t="shared" si="44"/>
        <v>39.941303468107002</v>
      </c>
      <c r="BH37" s="49">
        <f t="shared" si="44"/>
        <v>38.849442273586504</v>
      </c>
      <c r="BI37" s="49">
        <f t="shared" si="44"/>
        <v>78.690745741693505</v>
      </c>
      <c r="BJ37" s="23">
        <v>37.6</v>
      </c>
      <c r="BK37" s="23">
        <v>116.2</v>
      </c>
      <c r="BL37" s="23">
        <v>37.6</v>
      </c>
      <c r="BM37" s="23">
        <f>+'Fin. Highlights - FY'!K37</f>
        <v>190.18077943895651</v>
      </c>
    </row>
    <row r="38" spans="1:65" hidden="1" outlineLevel="1">
      <c r="A38" s="19" t="s">
        <v>169</v>
      </c>
      <c r="B38" s="23"/>
      <c r="C38" s="23">
        <v>0</v>
      </c>
      <c r="D38" s="49" t="s">
        <v>137</v>
      </c>
      <c r="E38" s="23">
        <v>61.2</v>
      </c>
      <c r="F38" s="49" t="s">
        <v>137</v>
      </c>
      <c r="G38" s="23">
        <v>61.2</v>
      </c>
      <c r="H38" s="49">
        <f>I38-G38</f>
        <v>-5.0000000000004263E-2</v>
      </c>
      <c r="I38" s="33">
        <f>'Fin. Highlights - FY'!C38</f>
        <v>61.15</v>
      </c>
      <c r="J38" s="23">
        <v>-6.0509999999999966</v>
      </c>
      <c r="K38" s="49">
        <f>IFERROR(L38-J38,"n.a.")</f>
        <v>3.0459999999999989</v>
      </c>
      <c r="L38" s="23">
        <v>-3.0049999999999977</v>
      </c>
      <c r="M38" s="49">
        <f>IFERROR(N38-L38,"n.a.")</f>
        <v>3.3309999999999977</v>
      </c>
      <c r="N38" s="23">
        <v>0.32600000000000001</v>
      </c>
      <c r="O38" s="49">
        <f>IFERROR(P38-N38,"n.a.")</f>
        <v>1.8230000000000022</v>
      </c>
      <c r="P38" s="33">
        <f>'Fin. Highlights - FY'!D38</f>
        <v>2.1490000000000022</v>
      </c>
      <c r="Q38" s="23">
        <v>0</v>
      </c>
      <c r="R38" s="49">
        <f>IFERROR(S38-Q38,"n.a.")</f>
        <v>-99.825999999999993</v>
      </c>
      <c r="S38" s="23">
        <v>-99.825999999999993</v>
      </c>
      <c r="T38" s="49">
        <f>IFERROR(U38-S38,"n.a.")</f>
        <v>-0.75600000000000023</v>
      </c>
      <c r="U38" s="23">
        <v>-100.58199999999999</v>
      </c>
      <c r="V38" s="49">
        <f>IFERROR(W38-U38,"n.a.")</f>
        <v>-6.7180000000000035</v>
      </c>
      <c r="W38" s="33">
        <f>'Fin. Highlights - FY'!E38</f>
        <v>-107.3</v>
      </c>
      <c r="X38" s="23">
        <v>0</v>
      </c>
      <c r="Y38" s="49">
        <f>IFERROR(Z38-X38,"n.a.")</f>
        <v>0</v>
      </c>
      <c r="Z38" s="23">
        <v>0</v>
      </c>
      <c r="AA38" s="49">
        <f>IFERROR(AB38-Z38,"n.a.")</f>
        <v>0</v>
      </c>
      <c r="AB38" s="23">
        <v>0</v>
      </c>
      <c r="AC38" s="49">
        <f>IFERROR(AD38-AB38,"n.a.")</f>
        <v>0</v>
      </c>
      <c r="AD38" s="33">
        <f>'Fin. Highlights - FY'!F38</f>
        <v>0</v>
      </c>
      <c r="AE38" s="23">
        <v>0</v>
      </c>
      <c r="AF38" s="49">
        <f>IFERROR(AG38-AE38,"n.a.")</f>
        <v>0</v>
      </c>
      <c r="AG38" s="23">
        <v>0</v>
      </c>
      <c r="AH38" s="49">
        <f>IFERROR(AI38-AG38,"n.a.")</f>
        <v>0</v>
      </c>
      <c r="AI38" s="23">
        <v>0</v>
      </c>
      <c r="AJ38" s="49">
        <f>IFERROR(AK38-AI38,"n.a.")</f>
        <v>0</v>
      </c>
      <c r="AK38" s="33">
        <f>'Fin. Highlights - FY'!G38</f>
        <v>0</v>
      </c>
      <c r="AL38" s="23">
        <v>0</v>
      </c>
      <c r="AM38" s="49">
        <f>IFERROR(AN38-AL38,"n.a.")</f>
        <v>0</v>
      </c>
      <c r="AN38" s="23">
        <v>0</v>
      </c>
      <c r="AO38" s="49">
        <f>IFERROR(AP38-AN38,"n.a.")</f>
        <v>0</v>
      </c>
      <c r="AP38" s="23">
        <v>0</v>
      </c>
      <c r="AQ38" s="49">
        <f>IFERROR(AR38-AP38,"n.a.")</f>
        <v>0</v>
      </c>
      <c r="AR38" s="33">
        <f>'Fin. Highlights - FY'!H38</f>
        <v>0</v>
      </c>
      <c r="AS38" s="49">
        <v>0</v>
      </c>
      <c r="AT38" s="49">
        <f>IFERROR(AU38-AS38,"n.a.")</f>
        <v>0</v>
      </c>
      <c r="AU38" s="23">
        <v>0</v>
      </c>
      <c r="AV38" s="49">
        <f>IFERROR(AW38-AU38,"n.a.")</f>
        <v>0</v>
      </c>
      <c r="AW38" s="23">
        <v>0</v>
      </c>
      <c r="AX38" s="49">
        <f>IFERROR(AY38-AW38,"n.a.")</f>
        <v>0</v>
      </c>
      <c r="AY38" s="23">
        <v>0</v>
      </c>
      <c r="AZ38" s="49">
        <v>0</v>
      </c>
      <c r="BA38" s="49">
        <f>IFERROR(BB38-AZ38,"n.a.")</f>
        <v>0</v>
      </c>
      <c r="BB38" s="23">
        <v>0</v>
      </c>
      <c r="BC38" s="49">
        <f>IFERROR(BD38-BB38,"n.a.")</f>
        <v>0</v>
      </c>
      <c r="BD38" s="23">
        <v>0</v>
      </c>
      <c r="BE38" s="49">
        <f>IFERROR(BF38-BD38,"n.a.")</f>
        <v>0</v>
      </c>
      <c r="BF38" s="49">
        <v>0</v>
      </c>
      <c r="BG38" s="49">
        <v>0</v>
      </c>
      <c r="BH38" s="49">
        <f>IFERROR(BI38-BG38,"n.a.")</f>
        <v>0</v>
      </c>
      <c r="BI38" s="23">
        <v>0</v>
      </c>
      <c r="BJ38" s="49">
        <f>IFERROR(BK38-BI38,"n.a.")</f>
        <v>0</v>
      </c>
      <c r="BK38" s="23">
        <v>0</v>
      </c>
      <c r="BL38" s="49">
        <f>IFERROR(BM38-BK38,"n.a.")</f>
        <v>0</v>
      </c>
      <c r="BM38" s="23">
        <f>+'Fin. Highlights - FY'!K38</f>
        <v>0</v>
      </c>
    </row>
    <row r="39" spans="1:65" hidden="1" outlineLevel="1">
      <c r="A39" s="16" t="s">
        <v>356</v>
      </c>
      <c r="B39" s="23"/>
      <c r="C39" s="23">
        <v>0</v>
      </c>
      <c r="D39" s="49">
        <v>0</v>
      </c>
      <c r="E39" s="23">
        <v>0</v>
      </c>
      <c r="F39" s="49">
        <v>0</v>
      </c>
      <c r="G39" s="23">
        <v>0</v>
      </c>
      <c r="H39" s="49">
        <v>0</v>
      </c>
      <c r="I39" s="33">
        <v>0</v>
      </c>
      <c r="J39" s="23">
        <v>0</v>
      </c>
      <c r="K39" s="49">
        <v>0</v>
      </c>
      <c r="L39" s="23">
        <v>0</v>
      </c>
      <c r="M39" s="49">
        <v>0</v>
      </c>
      <c r="N39" s="23">
        <v>0</v>
      </c>
      <c r="O39" s="49">
        <v>0</v>
      </c>
      <c r="P39" s="33">
        <v>0</v>
      </c>
      <c r="Q39" s="23">
        <v>0</v>
      </c>
      <c r="R39" s="49">
        <v>0</v>
      </c>
      <c r="S39" s="23">
        <v>0</v>
      </c>
      <c r="T39" s="49">
        <v>0</v>
      </c>
      <c r="U39" s="23">
        <v>0</v>
      </c>
      <c r="V39" s="49">
        <v>0</v>
      </c>
      <c r="W39" s="33">
        <v>0</v>
      </c>
      <c r="X39" s="23">
        <v>0</v>
      </c>
      <c r="Y39" s="49">
        <v>0</v>
      </c>
      <c r="Z39" s="23">
        <v>0</v>
      </c>
      <c r="AA39" s="49">
        <v>0</v>
      </c>
      <c r="AB39" s="23">
        <v>0</v>
      </c>
      <c r="AC39" s="49">
        <v>0</v>
      </c>
      <c r="AD39" s="33">
        <v>0</v>
      </c>
      <c r="AE39" s="23">
        <v>0</v>
      </c>
      <c r="AF39" s="49">
        <v>0</v>
      </c>
      <c r="AG39" s="23">
        <v>0</v>
      </c>
      <c r="AH39" s="49">
        <v>0</v>
      </c>
      <c r="AI39" s="23">
        <v>0</v>
      </c>
      <c r="AJ39" s="49">
        <v>0</v>
      </c>
      <c r="AK39" s="33">
        <v>0</v>
      </c>
      <c r="AL39" s="23">
        <v>0</v>
      </c>
      <c r="AM39" s="49">
        <v>0</v>
      </c>
      <c r="AN39" s="23">
        <v>0</v>
      </c>
      <c r="AO39" s="49">
        <v>0</v>
      </c>
      <c r="AP39" s="23">
        <v>0</v>
      </c>
      <c r="AQ39" s="49">
        <v>0</v>
      </c>
      <c r="AR39" s="33">
        <v>0</v>
      </c>
      <c r="AS39" s="49">
        <v>0</v>
      </c>
      <c r="AT39" s="49">
        <v>0</v>
      </c>
      <c r="AU39" s="23">
        <v>0</v>
      </c>
      <c r="AV39" s="49">
        <v>0</v>
      </c>
      <c r="AW39" s="23">
        <v>0</v>
      </c>
      <c r="AX39" s="49">
        <v>0</v>
      </c>
      <c r="AY39" s="23">
        <v>0</v>
      </c>
      <c r="AZ39" s="49">
        <v>0</v>
      </c>
      <c r="BA39" s="49">
        <v>0</v>
      </c>
      <c r="BB39" s="23">
        <v>0</v>
      </c>
      <c r="BC39" s="49">
        <v>0</v>
      </c>
      <c r="BD39" s="23">
        <v>0</v>
      </c>
      <c r="BE39" s="49">
        <v>0</v>
      </c>
      <c r="BF39" s="49">
        <v>0</v>
      </c>
      <c r="BG39" s="49">
        <v>0</v>
      </c>
      <c r="BH39" s="49">
        <v>0</v>
      </c>
      <c r="BI39" s="23">
        <v>0</v>
      </c>
      <c r="BJ39" s="49">
        <v>0</v>
      </c>
      <c r="BK39" s="23">
        <v>0</v>
      </c>
      <c r="BL39" s="49">
        <f>IFERROR(BM39-BK39,"n.a.")</f>
        <v>-45.6</v>
      </c>
      <c r="BM39" s="23">
        <f>+'Fin. Highlights - FY'!K39</f>
        <v>-45.6</v>
      </c>
    </row>
    <row r="40" spans="1:65" hidden="1" outlineLevel="1">
      <c r="A40" s="19" t="s">
        <v>27</v>
      </c>
      <c r="B40" s="23"/>
      <c r="C40" s="23">
        <v>-10.127699999999999</v>
      </c>
      <c r="D40" s="49" t="s">
        <v>137</v>
      </c>
      <c r="E40" s="23">
        <v>-67.78009999999999</v>
      </c>
      <c r="F40" s="49" t="s">
        <v>137</v>
      </c>
      <c r="G40" s="23">
        <v>-103.60919999999999</v>
      </c>
      <c r="H40" s="49">
        <f>I40-G40</f>
        <v>-36.790800000000019</v>
      </c>
      <c r="I40" s="33">
        <f>'Fin. Highlights - FY'!C40</f>
        <v>-140.4</v>
      </c>
      <c r="J40" s="23">
        <v>-7.4170225944794392</v>
      </c>
      <c r="K40" s="49">
        <f>IFERROR(L40-J40,"n.a.")</f>
        <v>-13.713317405520554</v>
      </c>
      <c r="L40" s="23">
        <v>-21.130339999999993</v>
      </c>
      <c r="M40" s="49">
        <f>IFERROR(N40-L40,"n.a.")</f>
        <v>-62.48266000000001</v>
      </c>
      <c r="N40" s="23">
        <v>-83.613</v>
      </c>
      <c r="O40" s="49">
        <f>IFERROR(P40-N40,"n.a.")</f>
        <v>-42.864999999999995</v>
      </c>
      <c r="P40" s="33">
        <f>'Fin. Highlights - FY'!D40</f>
        <v>-126.47799999999999</v>
      </c>
      <c r="Q40" s="23">
        <v>-14.125999999999999</v>
      </c>
      <c r="R40" s="49">
        <f>IFERROR(S40-Q40,"n.a.")</f>
        <v>47.646000000000001</v>
      </c>
      <c r="S40" s="23">
        <v>33.520000000000003</v>
      </c>
      <c r="T40" s="49">
        <f>IFERROR(U40-S40,"n.a.")</f>
        <v>-25.306000000000004</v>
      </c>
      <c r="U40" s="23">
        <v>8.2140000000000004</v>
      </c>
      <c r="V40" s="49">
        <f>IFERROR(W40-U40,"n.a.")</f>
        <v>-18.914000000000001</v>
      </c>
      <c r="W40" s="33">
        <f>'Fin. Highlights - FY'!E40</f>
        <v>-10.7</v>
      </c>
      <c r="X40" s="23">
        <v>-14.907</v>
      </c>
      <c r="Y40" s="49">
        <f>IFERROR(Z40-X40,"n.a.")</f>
        <v>-20.287000000000003</v>
      </c>
      <c r="Z40" s="23">
        <v>-35.194000000000003</v>
      </c>
      <c r="AA40" s="49">
        <f>IFERROR(AB40-Z40,"n.a.")</f>
        <v>-16.592999999999996</v>
      </c>
      <c r="AB40" s="23">
        <v>-51.786999999999999</v>
      </c>
      <c r="AC40" s="49">
        <f>IFERROR(AD40-AB40,"n.a.")</f>
        <v>-27.496000000000002</v>
      </c>
      <c r="AD40" s="33">
        <f>'Fin. Highlights - FY'!F40</f>
        <v>-79.283000000000001</v>
      </c>
      <c r="AE40" s="23">
        <v>-19.687999999999999</v>
      </c>
      <c r="AF40" s="49">
        <f>IFERROR(AG40-AE40,"n.a.")</f>
        <v>-16.361999999999998</v>
      </c>
      <c r="AG40" s="23">
        <v>-36.049999999999997</v>
      </c>
      <c r="AH40" s="49">
        <f>IFERROR(AI40-AG40,"n.a.")</f>
        <v>-12.515000000000001</v>
      </c>
      <c r="AI40" s="23">
        <v>-48.564999999999998</v>
      </c>
      <c r="AJ40" s="49">
        <f>IFERROR(AK40-AI40,"n.a.")</f>
        <v>-42.972999999999999</v>
      </c>
      <c r="AK40" s="33">
        <f>'Fin. Highlights - FY'!G40</f>
        <v>-91.537999999999997</v>
      </c>
      <c r="AL40" s="23">
        <v>-10.124000000000001</v>
      </c>
      <c r="AM40" s="49">
        <f>IFERROR(AN40-AL40,"n.a.")</f>
        <v>-11.375999999999999</v>
      </c>
      <c r="AN40" s="23">
        <v>-21.5</v>
      </c>
      <c r="AO40" s="49">
        <f>IFERROR(AP40-AN40,"n.a.")</f>
        <v>-13.299999999999997</v>
      </c>
      <c r="AP40" s="49">
        <v>-34.799999999999997</v>
      </c>
      <c r="AQ40" s="49">
        <f>IFERROR(AR40-AP40,"n.a.")</f>
        <v>-17</v>
      </c>
      <c r="AR40" s="33">
        <f>'Fin. Highlights - FY'!H40</f>
        <v>-51.8</v>
      </c>
      <c r="AS40" s="49">
        <v>-10.5</v>
      </c>
      <c r="AT40" s="49">
        <f>IFERROR(AU40-AS40,"n.a.")</f>
        <v>-11.2</v>
      </c>
      <c r="AU40" s="23">
        <v>-21.7</v>
      </c>
      <c r="AV40" s="49">
        <f>IFERROR(AW40-AU40,"n.a.")</f>
        <v>-50.42</v>
      </c>
      <c r="AW40" s="23">
        <v>-72.12</v>
      </c>
      <c r="AX40" s="49">
        <f>IFERROR(AY40-AW40,"n.a.")</f>
        <v>-21.879999999999995</v>
      </c>
      <c r="AY40" s="49">
        <f>+'Fin. Highlights - FY'!I40</f>
        <v>-94</v>
      </c>
      <c r="AZ40" s="49">
        <v>-10.3</v>
      </c>
      <c r="BA40" s="49">
        <f>IFERROR(BB40-AZ40,"n.a.")</f>
        <v>-10.5</v>
      </c>
      <c r="BB40" s="23">
        <v>-20.8</v>
      </c>
      <c r="BC40" s="49">
        <f>IFERROR(BD40-BB40,"n.a.")</f>
        <v>-10</v>
      </c>
      <c r="BD40" s="23">
        <v>-30.8</v>
      </c>
      <c r="BE40" s="49">
        <f>IFERROR(BF40-BD40,"n.a.")</f>
        <v>-14.3</v>
      </c>
      <c r="BF40" s="49">
        <f>+'Fin. Highlights - FY'!J40</f>
        <v>-45.1</v>
      </c>
      <c r="BG40" s="49">
        <v>-11.5</v>
      </c>
      <c r="BH40" s="49">
        <f>IFERROR(BI40-BG40,"n.a.")</f>
        <v>-11</v>
      </c>
      <c r="BI40" s="23">
        <v>-22.5</v>
      </c>
      <c r="BJ40" s="49">
        <f>IFERROR(BK40-BI40,"n.a.")</f>
        <v>-12.899999999999999</v>
      </c>
      <c r="BK40" s="23">
        <v>-35.4</v>
      </c>
      <c r="BL40" s="49">
        <f>IFERROR(BM40-BK40,"n.a.")</f>
        <v>-17.899999999999999</v>
      </c>
      <c r="BM40" s="23">
        <f>+'Fin. Highlights - FY'!K40</f>
        <v>-53.3</v>
      </c>
    </row>
    <row r="41" spans="1:65" s="14" customFormat="1" ht="13" collapsed="1">
      <c r="A41" s="64" t="s">
        <v>217</v>
      </c>
      <c r="B41" s="66"/>
      <c r="C41" s="67">
        <f t="shared" ref="C41:M41" si="45">IFERROR(C32+C37+C38+C40,"n.a.")</f>
        <v>75.672300000000007</v>
      </c>
      <c r="D41" s="67" t="str">
        <f t="shared" si="45"/>
        <v>n.a.</v>
      </c>
      <c r="E41" s="67">
        <f t="shared" si="45"/>
        <v>159.01989999999995</v>
      </c>
      <c r="F41" s="67" t="str">
        <f t="shared" si="45"/>
        <v>n.a.</v>
      </c>
      <c r="G41" s="67">
        <f t="shared" si="45"/>
        <v>257.49079999999998</v>
      </c>
      <c r="H41" s="67">
        <f t="shared" si="45"/>
        <v>129.24619999999999</v>
      </c>
      <c r="I41" s="67">
        <f t="shared" si="45"/>
        <v>386.83699999999988</v>
      </c>
      <c r="J41" s="67">
        <f t="shared" si="45"/>
        <v>113.33197740552058</v>
      </c>
      <c r="K41" s="67">
        <f t="shared" si="45"/>
        <v>116.83268259447949</v>
      </c>
      <c r="L41" s="67">
        <f t="shared" si="45"/>
        <v>230.16465999999997</v>
      </c>
      <c r="M41" s="67">
        <f t="shared" si="45"/>
        <v>173.34833999999998</v>
      </c>
      <c r="N41" s="67">
        <f t="shared" ref="N41:Z41" si="46">IFERROR(N32+N37+N38+N40,"n.a.")</f>
        <v>403.51300000000003</v>
      </c>
      <c r="O41" s="67">
        <f t="shared" si="46"/>
        <v>172.858</v>
      </c>
      <c r="P41" s="67">
        <f t="shared" si="46"/>
        <v>576.37099999999987</v>
      </c>
      <c r="Q41" s="67">
        <f t="shared" si="46"/>
        <v>123.38999999999996</v>
      </c>
      <c r="R41" s="67">
        <f t="shared" si="46"/>
        <v>132.80399999999997</v>
      </c>
      <c r="S41" s="67">
        <f t="shared" si="46"/>
        <v>256.19400000000002</v>
      </c>
      <c r="T41" s="67">
        <f t="shared" si="46"/>
        <v>124.23799999999994</v>
      </c>
      <c r="U41" s="67">
        <f t="shared" si="46"/>
        <v>380.43199999999996</v>
      </c>
      <c r="V41" s="67">
        <f t="shared" si="46"/>
        <v>133.82200000000006</v>
      </c>
      <c r="W41" s="67">
        <f t="shared" si="46"/>
        <v>514.25400000000002</v>
      </c>
      <c r="X41" s="67">
        <f t="shared" si="46"/>
        <v>76.254999999999981</v>
      </c>
      <c r="Y41" s="67">
        <f t="shared" si="46"/>
        <v>-89.689000000000021</v>
      </c>
      <c r="Z41" s="67">
        <f t="shared" si="46"/>
        <v>-13.453000000000003</v>
      </c>
      <c r="AA41" s="67">
        <f>IFERROR(AA32+AA37+AA38+AA40,"n.a.")</f>
        <v>128.637</v>
      </c>
      <c r="AB41" s="67">
        <f>IFERROR(AB32+AB37+AB38+AB40-0.03,"n.a.")</f>
        <v>115.22299999999998</v>
      </c>
      <c r="AC41" s="67">
        <f>IFERROR(AC32+AC37+AC38+AC40,"n.a.")</f>
        <v>130.35100000000003</v>
      </c>
      <c r="AD41" s="67">
        <f>IFERROR(AD32+AD37+AD38+AD40-0.05,"n.a.")</f>
        <v>245.50400000000008</v>
      </c>
      <c r="AE41" s="67">
        <f t="shared" ref="AE41:AN41" si="47">IFERROR(AE32+AE37+AE38+AE40,"n.a.")</f>
        <v>93.850000000000009</v>
      </c>
      <c r="AF41" s="67">
        <f t="shared" si="47"/>
        <v>130.41899999999998</v>
      </c>
      <c r="AG41" s="67">
        <f t="shared" si="47"/>
        <v>224.26899999999995</v>
      </c>
      <c r="AH41" s="67">
        <f t="shared" si="47"/>
        <v>135.82100000000008</v>
      </c>
      <c r="AI41" s="67">
        <f t="shared" si="47"/>
        <v>360.09000000000009</v>
      </c>
      <c r="AJ41" s="67">
        <f t="shared" si="47"/>
        <v>108.64199999999987</v>
      </c>
      <c r="AK41" s="67">
        <f t="shared" si="47"/>
        <v>468.78199999999981</v>
      </c>
      <c r="AL41" s="67">
        <f t="shared" si="47"/>
        <v>135.59699999999998</v>
      </c>
      <c r="AM41" s="67">
        <f t="shared" si="47"/>
        <v>152.37200000000004</v>
      </c>
      <c r="AN41" s="67">
        <f t="shared" si="47"/>
        <v>287.86900000000009</v>
      </c>
      <c r="AO41" s="67">
        <f>IFERROR(AO32+AO37+AO38+AO40+0.1,"n.a.")</f>
        <v>157.89199999999997</v>
      </c>
      <c r="AP41" s="67">
        <f>IFERROR(AP32+AP37+AP38+AP40,"n.a.")</f>
        <v>445.79</v>
      </c>
      <c r="AQ41" s="67">
        <f>IFERROR(AQ32+AQ37+AQ38+AQ40-0.1,"n.a.")</f>
        <v>124.61100000000008</v>
      </c>
      <c r="AR41" s="67">
        <f>IFERROR(AR32+AR37+AR38+AR40,"n.a.")</f>
        <v>570.40100000000007</v>
      </c>
      <c r="AS41" s="67">
        <f>IFERROR(AS32+AS37+AS38+AS40,"n.a.")</f>
        <v>141.876</v>
      </c>
      <c r="AT41" s="67">
        <f>IFERROR(AT32+AT37+AT38+AT40,"n.a.")</f>
        <v>156.57400000000001</v>
      </c>
      <c r="AU41" s="67">
        <f>IFERROR(AU32+AU37+AU38+AU40+0.1,"n.a.")</f>
        <v>298.35000000000008</v>
      </c>
      <c r="AV41" s="67">
        <f>IFERROR(AV32+AV37+AV38+AV40-0.1,"n.a.")</f>
        <v>154.77357113620204</v>
      </c>
      <c r="AW41" s="67">
        <f>IFERROR(AW32+AW37+AW38+AW40,"n.a.")</f>
        <v>453.14557113620197</v>
      </c>
      <c r="AX41" s="67">
        <f>IFERROR(AX32+AX37+AX38+AX40-0.1,"n.a.")</f>
        <v>142.16931006531289</v>
      </c>
      <c r="AY41" s="67">
        <f>IFERROR(AY32+AY37+AY38+AY40,"n.a.")</f>
        <v>595.36488120151489</v>
      </c>
      <c r="AZ41" s="67">
        <f>IFERROR(AZ32+AZ37+AZ38+AZ40,"n.a.")</f>
        <v>126.20769339747598</v>
      </c>
      <c r="BA41" s="67">
        <f>IFERROR(BA32+BA37+BA38+BA40,"n.a.")-0.1</f>
        <v>156.75730660252404</v>
      </c>
      <c r="BB41" s="67">
        <f>IFERROR(BB32+BB37+BB38+BB40,"n.a.")</f>
        <v>282.96500000000003</v>
      </c>
      <c r="BC41" s="67">
        <f>IFERROR(BC32+BC37+BC38+BC40,"n.a.")</f>
        <v>165.42686445644051</v>
      </c>
      <c r="BD41" s="67">
        <f>IFERROR(BD32+BD37+BD38+BD40,"n.a.")</f>
        <v>448.44186445644056</v>
      </c>
      <c r="BE41" s="67">
        <f>IFERROR(BE32+BE37+BE38+BE40,"n.a.")-0.1</f>
        <v>165.08658386602386</v>
      </c>
      <c r="BF41" s="67">
        <f>IFERROR(BF32+BF37+BF38+BF40,"n.a.")</f>
        <v>613.57844832246462</v>
      </c>
      <c r="BG41" s="67">
        <f>IFERROR(BG32+BG37+BG38+BG40,"n.a.")</f>
        <v>155.59373850609401</v>
      </c>
      <c r="BH41" s="67">
        <f>IFERROR(BH32+BH37+BH38+BH40,"n.a.")-0.1</f>
        <v>164.5695858350592</v>
      </c>
      <c r="BI41" s="67">
        <f>IFERROR(BI32+BI37+BI38+BI40,"n.a.")</f>
        <v>320.16332434115316</v>
      </c>
      <c r="BJ41" s="67">
        <f>IFERROR(BJ32+BJ37+BJ38+BJ40,"n.a.")-0.1</f>
        <v>161.18113345384683</v>
      </c>
      <c r="BK41" s="67">
        <f>IFERROR(BK32+BK37+BK38+BK40,"n.a.")</f>
        <v>481.35371205330659</v>
      </c>
      <c r="BL41" s="67">
        <f>IFERROR(BL32+BL37+BL38+BL40+BL39,"n.a.")</f>
        <v>104.24383303391696</v>
      </c>
      <c r="BM41" s="67">
        <f>IFERROR(BM32+BM37+BM38+BM40+BM39,"n.a.")</f>
        <v>621.97832452618002</v>
      </c>
    </row>
    <row r="42" spans="1:65">
      <c r="A42" s="138" t="s">
        <v>218</v>
      </c>
      <c r="B42" s="28"/>
      <c r="C42" s="28">
        <f t="shared" ref="C42:AH42" si="48">IFERROR(C41/C7,"n.a.")</f>
        <v>5.6501381318599268E-2</v>
      </c>
      <c r="D42" s="28" t="str">
        <f t="shared" si="48"/>
        <v>n.a.</v>
      </c>
      <c r="E42" s="28">
        <f t="shared" si="48"/>
        <v>5.9218672029195979E-2</v>
      </c>
      <c r="F42" s="28" t="str">
        <f t="shared" si="48"/>
        <v>n.a.</v>
      </c>
      <c r="G42" s="28">
        <f t="shared" si="48"/>
        <v>6.3759019437910111E-2</v>
      </c>
      <c r="H42" s="28">
        <f t="shared" si="48"/>
        <v>9.8377653420369984E-2</v>
      </c>
      <c r="I42" s="28">
        <f t="shared" si="48"/>
        <v>7.2275233937861186E-2</v>
      </c>
      <c r="J42" s="28">
        <f t="shared" si="48"/>
        <v>8.6495528691561838E-2</v>
      </c>
      <c r="K42" s="28">
        <f t="shared" si="48"/>
        <v>8.8507194193551894E-2</v>
      </c>
      <c r="L42" s="28">
        <f t="shared" si="48"/>
        <v>8.7505098277762969E-2</v>
      </c>
      <c r="M42" s="28">
        <f t="shared" si="48"/>
        <v>0.13387005946405126</v>
      </c>
      <c r="N42" s="28">
        <f t="shared" si="48"/>
        <v>0.10280062162437582</v>
      </c>
      <c r="O42" s="28">
        <f t="shared" si="48"/>
        <v>0.13618758587653942</v>
      </c>
      <c r="P42" s="28">
        <f t="shared" si="48"/>
        <v>0.11095870526776194</v>
      </c>
      <c r="Q42" s="28">
        <f t="shared" si="48"/>
        <v>9.3918118684369931E-2</v>
      </c>
      <c r="R42" s="28">
        <f t="shared" si="48"/>
        <v>9.9030676960177894E-2</v>
      </c>
      <c r="S42" s="28">
        <f t="shared" si="48"/>
        <v>9.650062169401355E-2</v>
      </c>
      <c r="T42" s="28">
        <f t="shared" si="48"/>
        <v>8.9927117617211449E-2</v>
      </c>
      <c r="U42" s="28">
        <f t="shared" si="48"/>
        <v>9.4250695672165971E-2</v>
      </c>
      <c r="V42" s="28">
        <f t="shared" si="48"/>
        <v>0.10400654713838607</v>
      </c>
      <c r="W42" s="28">
        <f t="shared" si="48"/>
        <v>9.6608844585992296E-2</v>
      </c>
      <c r="X42" s="28">
        <f t="shared" si="48"/>
        <v>7.2515243844453819E-2</v>
      </c>
      <c r="Y42" s="28">
        <f t="shared" si="48"/>
        <v>-0.11726244252193548</v>
      </c>
      <c r="Z42" s="28">
        <f t="shared" si="48"/>
        <v>-7.4062900339071898E-3</v>
      </c>
      <c r="AA42" s="28">
        <f t="shared" si="48"/>
        <v>0.10070212877553722</v>
      </c>
      <c r="AB42" s="28">
        <f t="shared" si="48"/>
        <v>3.7242834932753252E-2</v>
      </c>
      <c r="AC42" s="28">
        <f t="shared" si="48"/>
        <v>0.10787957636383648</v>
      </c>
      <c r="AD42" s="28">
        <f t="shared" si="48"/>
        <v>5.7065672802618067E-2</v>
      </c>
      <c r="AE42" s="28">
        <f t="shared" si="48"/>
        <v>7.5398786067493367E-2</v>
      </c>
      <c r="AF42" s="28">
        <f t="shared" si="48"/>
        <v>9.8792842501397582E-2</v>
      </c>
      <c r="AG42" s="28">
        <f t="shared" si="48"/>
        <v>8.7439728232666256E-2</v>
      </c>
      <c r="AH42" s="28">
        <f t="shared" si="48"/>
        <v>9.6021180778938051E-2</v>
      </c>
      <c r="AI42" s="28">
        <f t="shared" ref="AI42:BM42" si="49">IFERROR(AI41/AI7,"n.a.")</f>
        <v>9.049122190667111E-2</v>
      </c>
      <c r="AJ42" s="28">
        <f t="shared" si="49"/>
        <v>8.0346465567543615E-2</v>
      </c>
      <c r="AK42" s="28">
        <f t="shared" si="49"/>
        <v>8.7927674460043667E-2</v>
      </c>
      <c r="AL42" s="28">
        <f t="shared" si="49"/>
        <v>8.9144567944981587E-2</v>
      </c>
      <c r="AM42" s="28">
        <f t="shared" si="49"/>
        <v>9.0921350513704577E-2</v>
      </c>
      <c r="AN42" s="28">
        <f t="shared" si="49"/>
        <v>9.0044689371799519E-2</v>
      </c>
      <c r="AO42" s="28">
        <f t="shared" si="49"/>
        <v>8.5978855426771306E-2</v>
      </c>
      <c r="AP42" s="28">
        <f t="shared" si="49"/>
        <v>8.8567925056106209E-2</v>
      </c>
      <c r="AQ42" s="28">
        <f t="shared" si="49"/>
        <v>7.8748701329888801E-2</v>
      </c>
      <c r="AR42" s="28">
        <f t="shared" si="49"/>
        <v>8.6219296521910016E-2</v>
      </c>
      <c r="AS42" s="28">
        <f t="shared" si="49"/>
        <v>8.3469236471460345E-2</v>
      </c>
      <c r="AT42" s="28">
        <f t="shared" si="49"/>
        <v>9.0101049627106161E-2</v>
      </c>
      <c r="AU42" s="28">
        <f t="shared" si="49"/>
        <v>8.6792727272727299E-2</v>
      </c>
      <c r="AV42" s="28">
        <f t="shared" si="49"/>
        <v>8.98393766452045E-2</v>
      </c>
      <c r="AW42" s="28">
        <f t="shared" si="49"/>
        <v>8.7814977883006004E-2</v>
      </c>
      <c r="AX42" s="28">
        <f t="shared" si="49"/>
        <v>9.5418689085339958E-2</v>
      </c>
      <c r="AY42" s="28">
        <f t="shared" si="49"/>
        <v>8.952675690211194E-2</v>
      </c>
      <c r="AZ42" s="28">
        <f t="shared" si="49"/>
        <v>7.44355413336691E-2</v>
      </c>
      <c r="BA42" s="28">
        <f t="shared" si="49"/>
        <v>8.947488062154263E-2</v>
      </c>
      <c r="BB42" s="28">
        <f t="shared" si="49"/>
        <v>8.2078317621464836E-2</v>
      </c>
      <c r="BC42" s="28">
        <f t="shared" si="49"/>
        <v>9.5235206684602003E-2</v>
      </c>
      <c r="BD42" s="28">
        <f t="shared" si="49"/>
        <v>8.6496066696892179E-2</v>
      </c>
      <c r="BE42" s="28">
        <f t="shared" si="49"/>
        <v>0.10390717255481713</v>
      </c>
      <c r="BF42" s="28">
        <f t="shared" si="49"/>
        <v>9.058749593687089E-2</v>
      </c>
      <c r="BG42" s="28">
        <f t="shared" si="49"/>
        <v>8.8473905112202503E-2</v>
      </c>
      <c r="BH42" s="28">
        <f t="shared" si="49"/>
        <v>9.4582933512739678E-2</v>
      </c>
      <c r="BI42" s="28">
        <f t="shared" si="49"/>
        <v>9.1512101829923809E-2</v>
      </c>
      <c r="BJ42" s="28">
        <f t="shared" si="49"/>
        <v>9.500210034259389E-2</v>
      </c>
      <c r="BK42" s="28">
        <f t="shared" si="49"/>
        <v>9.265361923848621E-2</v>
      </c>
      <c r="BL42" s="28">
        <f t="shared" si="49"/>
        <v>6.5937049456917904E-2</v>
      </c>
      <c r="BM42" s="28">
        <f t="shared" si="49"/>
        <v>9.1789257956105388E-2</v>
      </c>
    </row>
    <row r="43" spans="1:65">
      <c r="B43" s="46"/>
      <c r="C43" s="46"/>
      <c r="D43" s="46"/>
      <c r="E43" s="46"/>
      <c r="F43" s="46"/>
      <c r="G43" s="46"/>
      <c r="H43" s="46"/>
      <c r="I43" s="46"/>
      <c r="J43" s="46"/>
      <c r="K43" s="46"/>
      <c r="L43" s="46"/>
      <c r="M43" s="46"/>
      <c r="N43" s="139"/>
      <c r="O43" s="46"/>
      <c r="P43" s="46"/>
      <c r="Q43" s="46"/>
      <c r="R43" s="46"/>
      <c r="S43" s="46"/>
      <c r="T43" s="46"/>
      <c r="U43" s="46"/>
      <c r="V43" s="46"/>
      <c r="W43" s="46"/>
      <c r="X43" s="46"/>
      <c r="Y43" s="46"/>
      <c r="Z43" s="146">
        <f>Z34/Z7</f>
        <v>-5.5993930949131507E-2</v>
      </c>
      <c r="AA43" s="46"/>
      <c r="AB43" s="46"/>
      <c r="AC43" s="46"/>
      <c r="AD43" s="46"/>
      <c r="AE43" s="46"/>
      <c r="AF43" s="46"/>
      <c r="AG43" s="146"/>
      <c r="AH43" s="46"/>
      <c r="AI43" s="46"/>
      <c r="AJ43" s="46"/>
      <c r="AK43" s="46"/>
      <c r="AL43" s="146"/>
      <c r="AO43" s="46"/>
      <c r="AP43" s="46"/>
      <c r="AQ43" s="46"/>
      <c r="AR43" s="46"/>
      <c r="AS43" s="146"/>
      <c r="AV43" s="46"/>
      <c r="AW43" s="46"/>
      <c r="AX43" s="46"/>
      <c r="AY43" s="46"/>
      <c r="AZ43" s="146"/>
      <c r="BG43" s="146"/>
    </row>
    <row r="44" spans="1:65" ht="14">
      <c r="E44" s="22"/>
      <c r="L44" s="22"/>
      <c r="M44" s="114"/>
      <c r="S44" s="22"/>
      <c r="T44" s="114"/>
      <c r="Z44" s="147"/>
    </row>
    <row r="45" spans="1:65" s="38" customFormat="1" ht="33" customHeight="1">
      <c r="A45" s="227" t="s">
        <v>360</v>
      </c>
      <c r="B45" s="227"/>
      <c r="C45" s="227"/>
      <c r="D45" s="227"/>
      <c r="E45" s="227"/>
      <c r="F45" s="227"/>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c r="AD45" s="227"/>
      <c r="AE45" s="227"/>
      <c r="AF45" s="227"/>
      <c r="AG45" s="227"/>
      <c r="AH45" s="227"/>
      <c r="AI45" s="227"/>
      <c r="AJ45" s="227"/>
      <c r="AK45" s="227"/>
      <c r="AL45" s="227"/>
      <c r="AM45" s="227"/>
      <c r="AN45" s="227"/>
      <c r="AO45" s="227"/>
      <c r="AP45" s="227"/>
      <c r="AQ45" s="227"/>
      <c r="AR45" s="227"/>
      <c r="AS45" s="227"/>
      <c r="AT45" s="227"/>
      <c r="AU45" s="227"/>
      <c r="AV45" s="227"/>
      <c r="AW45" s="227"/>
      <c r="AX45" s="227"/>
      <c r="AY45" s="227"/>
      <c r="AZ45" s="227"/>
      <c r="BA45" s="227"/>
      <c r="BB45" s="227"/>
      <c r="BC45" s="227"/>
      <c r="BD45" s="227"/>
      <c r="BE45" s="227"/>
      <c r="BF45" s="227"/>
      <c r="BG45" s="227"/>
      <c r="BH45" s="227"/>
      <c r="BI45" s="227"/>
      <c r="BJ45" s="227"/>
      <c r="BK45" s="227"/>
    </row>
    <row r="46" spans="1:65" s="38" customFormat="1" ht="24" customHeight="1">
      <c r="A46" s="227" t="s">
        <v>175</v>
      </c>
      <c r="B46" s="227"/>
      <c r="C46" s="227"/>
      <c r="D46" s="227"/>
      <c r="E46" s="227"/>
      <c r="F46" s="227"/>
      <c r="G46" s="227"/>
      <c r="H46" s="227"/>
      <c r="I46" s="227"/>
      <c r="J46" s="227"/>
      <c r="K46" s="227"/>
      <c r="L46" s="227"/>
      <c r="M46" s="227"/>
      <c r="N46" s="227"/>
      <c r="O46" s="227"/>
      <c r="P46" s="227"/>
      <c r="Q46" s="227"/>
      <c r="R46" s="227"/>
      <c r="S46" s="227"/>
      <c r="T46" s="227"/>
      <c r="U46" s="227"/>
      <c r="V46" s="227"/>
      <c r="W46" s="227"/>
      <c r="X46" s="227"/>
      <c r="Y46" s="227"/>
      <c r="Z46" s="227"/>
      <c r="AA46" s="227"/>
      <c r="AB46" s="227"/>
      <c r="AC46" s="227"/>
      <c r="AD46" s="227"/>
      <c r="AE46" s="227"/>
      <c r="AF46" s="227"/>
      <c r="AG46" s="227"/>
      <c r="AH46" s="227"/>
      <c r="AI46" s="227"/>
      <c r="AJ46" s="227"/>
      <c r="AK46" s="227"/>
      <c r="AL46" s="227"/>
      <c r="AM46" s="227"/>
      <c r="AN46" s="227"/>
      <c r="AO46" s="227"/>
      <c r="AP46" s="227"/>
      <c r="AQ46" s="227"/>
      <c r="AR46" s="227"/>
      <c r="AS46" s="227"/>
      <c r="AT46" s="227"/>
      <c r="AU46" s="227"/>
      <c r="AV46" s="227"/>
      <c r="AW46" s="227"/>
      <c r="AX46" s="227"/>
      <c r="AY46" s="227"/>
      <c r="AZ46" s="227"/>
      <c r="BA46" s="227"/>
      <c r="BB46" s="227"/>
      <c r="BC46" s="227"/>
      <c r="BD46" s="227"/>
      <c r="BE46" s="227"/>
      <c r="BF46" s="227"/>
      <c r="BG46" s="227"/>
      <c r="BH46" s="227"/>
      <c r="BI46" s="227"/>
      <c r="BJ46" s="227"/>
      <c r="BK46" s="227"/>
    </row>
    <row r="47" spans="1:65" s="38" customFormat="1" ht="48" customHeight="1">
      <c r="A47" s="227" t="s">
        <v>177</v>
      </c>
      <c r="B47" s="227"/>
      <c r="C47" s="227"/>
      <c r="D47" s="227"/>
      <c r="E47" s="227"/>
      <c r="F47" s="227"/>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c r="AN47" s="227"/>
      <c r="AO47" s="227"/>
      <c r="AP47" s="227"/>
      <c r="AQ47" s="227"/>
      <c r="AR47" s="227"/>
      <c r="AS47" s="227"/>
      <c r="AT47" s="227"/>
      <c r="AU47" s="227"/>
      <c r="AV47" s="227"/>
      <c r="AW47" s="227"/>
      <c r="AX47" s="227"/>
      <c r="AY47" s="227"/>
      <c r="AZ47" s="227"/>
      <c r="BA47" s="227"/>
      <c r="BB47" s="227"/>
      <c r="BC47" s="227"/>
      <c r="BD47" s="227"/>
      <c r="BE47" s="227"/>
      <c r="BF47" s="227"/>
      <c r="BG47" s="227"/>
      <c r="BH47" s="227"/>
      <c r="BI47" s="227"/>
      <c r="BJ47" s="227"/>
      <c r="BK47" s="227"/>
    </row>
    <row r="48" spans="1:65" ht="24" customHeight="1">
      <c r="A48" s="227" t="s">
        <v>180</v>
      </c>
      <c r="B48" s="227"/>
      <c r="C48" s="227"/>
      <c r="D48" s="227"/>
      <c r="E48" s="227"/>
      <c r="F48" s="227"/>
      <c r="G48" s="227"/>
      <c r="H48" s="227"/>
      <c r="I48" s="227"/>
      <c r="J48" s="227"/>
      <c r="K48" s="227"/>
      <c r="L48" s="227"/>
      <c r="M48" s="227"/>
      <c r="N48" s="227"/>
      <c r="O48" s="227"/>
      <c r="P48" s="227"/>
      <c r="Q48" s="227"/>
      <c r="R48" s="227"/>
      <c r="S48" s="227"/>
      <c r="T48" s="227"/>
      <c r="U48" s="227"/>
      <c r="V48" s="227"/>
      <c r="W48" s="227"/>
      <c r="X48" s="227"/>
      <c r="Y48" s="227"/>
      <c r="Z48" s="227"/>
      <c r="AA48" s="227"/>
      <c r="AB48" s="227"/>
      <c r="AC48" s="227"/>
      <c r="AD48" s="227"/>
      <c r="AE48" s="227"/>
      <c r="AF48" s="227"/>
      <c r="AG48" s="227"/>
      <c r="AH48" s="227"/>
      <c r="AI48" s="227"/>
      <c r="AJ48" s="227"/>
      <c r="AK48" s="227"/>
      <c r="AL48" s="227"/>
      <c r="AM48" s="227"/>
      <c r="AN48" s="227"/>
      <c r="AO48" s="227"/>
      <c r="AP48" s="227"/>
      <c r="AQ48" s="227"/>
      <c r="AR48" s="227"/>
      <c r="AS48" s="227"/>
      <c r="AT48" s="227"/>
      <c r="AU48" s="227"/>
      <c r="AV48" s="227"/>
      <c r="AW48" s="227"/>
      <c r="AX48" s="227"/>
      <c r="AY48" s="227"/>
      <c r="AZ48" s="227"/>
      <c r="BA48" s="227"/>
      <c r="BB48" s="227"/>
      <c r="BC48" s="227"/>
      <c r="BD48" s="227"/>
      <c r="BE48" s="227"/>
      <c r="BF48" s="227"/>
      <c r="BG48" s="227"/>
      <c r="BH48" s="227"/>
      <c r="BI48" s="227"/>
      <c r="BJ48" s="227"/>
      <c r="BK48" s="227"/>
    </row>
    <row r="49" spans="1:63" ht="24" customHeight="1">
      <c r="A49" s="227" t="s">
        <v>181</v>
      </c>
      <c r="B49" s="227"/>
      <c r="C49" s="227"/>
      <c r="D49" s="227"/>
      <c r="E49" s="227"/>
      <c r="F49" s="227"/>
      <c r="G49" s="227"/>
      <c r="H49" s="227"/>
      <c r="I49" s="227"/>
      <c r="J49" s="227"/>
      <c r="K49" s="227"/>
      <c r="L49" s="227"/>
      <c r="M49" s="227"/>
      <c r="N49" s="227"/>
      <c r="O49" s="227"/>
      <c r="P49" s="227"/>
      <c r="Q49" s="227"/>
      <c r="R49" s="227"/>
      <c r="S49" s="227"/>
      <c r="T49" s="227"/>
      <c r="U49" s="227"/>
      <c r="V49" s="227"/>
      <c r="W49" s="227"/>
      <c r="X49" s="227"/>
      <c r="Y49" s="227"/>
      <c r="Z49" s="227"/>
      <c r="AA49" s="227"/>
      <c r="AB49" s="227"/>
      <c r="AC49" s="227"/>
      <c r="AD49" s="227"/>
      <c r="AE49" s="227"/>
      <c r="AF49" s="227"/>
      <c r="AG49" s="227"/>
      <c r="AH49" s="227"/>
      <c r="AI49" s="227"/>
      <c r="AJ49" s="227"/>
      <c r="AK49" s="227"/>
      <c r="AL49" s="227"/>
      <c r="AM49" s="227"/>
      <c r="AN49" s="227"/>
      <c r="AO49" s="227"/>
      <c r="AP49" s="227"/>
      <c r="AQ49" s="227"/>
      <c r="AR49" s="227"/>
      <c r="AS49" s="227"/>
      <c r="AT49" s="227"/>
      <c r="AU49" s="227"/>
      <c r="AV49" s="227"/>
      <c r="AW49" s="227"/>
      <c r="AX49" s="227"/>
      <c r="AY49" s="227"/>
      <c r="AZ49" s="227"/>
      <c r="BA49" s="227"/>
      <c r="BB49" s="227"/>
      <c r="BC49" s="227"/>
      <c r="BD49" s="227"/>
      <c r="BE49" s="227"/>
      <c r="BF49" s="227"/>
      <c r="BG49" s="227"/>
      <c r="BH49" s="227"/>
      <c r="BI49" s="227"/>
      <c r="BJ49" s="227"/>
      <c r="BK49" s="227"/>
    </row>
    <row r="50" spans="1:63" ht="24" customHeight="1">
      <c r="A50" s="227" t="s">
        <v>219</v>
      </c>
      <c r="B50" s="227"/>
      <c r="C50" s="227"/>
      <c r="D50" s="227"/>
      <c r="E50" s="227"/>
      <c r="F50" s="227"/>
      <c r="G50" s="227"/>
      <c r="H50" s="227"/>
      <c r="I50" s="227"/>
      <c r="J50" s="227"/>
      <c r="K50" s="227"/>
      <c r="L50" s="227"/>
      <c r="M50" s="227"/>
      <c r="N50" s="227"/>
      <c r="O50" s="227"/>
      <c r="P50" s="227"/>
      <c r="Q50" s="227"/>
      <c r="R50" s="227"/>
      <c r="S50" s="227"/>
      <c r="T50" s="227"/>
      <c r="U50" s="227"/>
      <c r="V50" s="227"/>
      <c r="W50" s="227"/>
      <c r="X50" s="227"/>
      <c r="Y50" s="227"/>
      <c r="Z50" s="227"/>
      <c r="AA50" s="227"/>
      <c r="AB50" s="227"/>
      <c r="AC50" s="227"/>
      <c r="AD50" s="227"/>
      <c r="AE50" s="227"/>
      <c r="AF50" s="227"/>
      <c r="AG50" s="227"/>
      <c r="AH50" s="227"/>
      <c r="AI50" s="227"/>
      <c r="AJ50" s="227"/>
      <c r="AK50" s="227"/>
      <c r="AL50" s="227"/>
      <c r="AM50" s="227"/>
      <c r="AN50" s="227"/>
      <c r="AO50" s="227"/>
      <c r="AP50" s="227"/>
      <c r="AQ50" s="227"/>
      <c r="AR50" s="227"/>
      <c r="AS50" s="227"/>
      <c r="AT50" s="227"/>
      <c r="AU50" s="227"/>
      <c r="AV50" s="227"/>
      <c r="AW50" s="227"/>
      <c r="AX50" s="227"/>
      <c r="AY50" s="227"/>
      <c r="AZ50" s="227"/>
      <c r="BA50" s="227"/>
      <c r="BB50" s="227"/>
      <c r="BC50" s="227"/>
      <c r="BD50" s="227"/>
      <c r="BE50" s="227"/>
      <c r="BF50" s="227"/>
      <c r="BG50" s="227"/>
      <c r="BH50" s="227"/>
      <c r="BI50" s="227"/>
      <c r="BJ50" s="227"/>
      <c r="BK50" s="227"/>
    </row>
  </sheetData>
  <dataConsolidate link="1"/>
  <mergeCells count="6">
    <mergeCell ref="A50:BK50"/>
    <mergeCell ref="A45:BK45"/>
    <mergeCell ref="A46:BK46"/>
    <mergeCell ref="A47:BK47"/>
    <mergeCell ref="A48:BK48"/>
    <mergeCell ref="A49:BK49"/>
  </mergeCells>
  <pageMargins left="0" right="0" top="0" bottom="0" header="0" footer="0"/>
  <pageSetup paperSize="9" scale="80" orientation="landscape" r:id="rId1"/>
  <ignoredErrors>
    <ignoredError sqref="D13:J13 Y22 G32 AA22 AC22 Z30 Z32 AH34 AF34 AC34 AA34 Y34 V34 R34 T34 K34 M34 O34 H34 AH22 AJ22 AJ34 AI32 AD37 AD41 AI37 AB32 AB41 AM22 AF22 AM34 AO41 AQ41 AQ34 AQ22 AO22 AW40:AW41 BA32 BA34 AX41 BA41 AS9 AT22 AV22 AX22 AX32 AT34 BC40:BE42 BH32:BK36 BH41:BK41 BH40:BJ40 BH38:BK38 BH37:BI37 BC22:BE25 AW32:AW38 BC26:BE28 BC29:BE30 BC32:BE38 BL26:BL34" 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R18"/>
  <sheetViews>
    <sheetView showGridLines="0" zoomScale="115" zoomScaleNormal="115" zoomScaleSheetLayoutView="100" workbookViewId="0">
      <pane xSplit="2" ySplit="6" topLeftCell="F7" activePane="bottomRight" state="frozen"/>
      <selection activeCell="AQ123" sqref="AQ123"/>
      <selection pane="topRight" activeCell="AQ123" sqref="AQ123"/>
      <selection pane="bottomLeft" activeCell="AQ123" sqref="AQ123"/>
      <selection pane="bottomRight"/>
    </sheetView>
  </sheetViews>
  <sheetFormatPr defaultColWidth="9" defaultRowHeight="12.5" outlineLevelCol="1"/>
  <cols>
    <col min="1" max="1" width="40.58203125" style="2" customWidth="1"/>
    <col min="2" max="2" width="2.58203125" style="2" customWidth="1"/>
    <col min="3" max="4" width="12.58203125" style="2" hidden="1" customWidth="1" outlineLevel="1" collapsed="1"/>
    <col min="5" max="5" width="12.58203125" style="2" hidden="1" customWidth="1" outlineLevel="1"/>
    <col min="6" max="6" width="12.58203125" style="2" customWidth="1" collapsed="1"/>
    <col min="7" max="11" width="12.58203125" style="2" customWidth="1"/>
    <col min="12" max="16384" width="9" style="2"/>
  </cols>
  <sheetData>
    <row r="1" spans="1:11" s="7" customFormat="1" ht="27.75" customHeight="1">
      <c r="A1" s="7" t="s">
        <v>256</v>
      </c>
      <c r="C1" s="8"/>
      <c r="D1" s="8"/>
      <c r="E1" s="8"/>
      <c r="F1" s="8"/>
      <c r="G1" s="8"/>
      <c r="H1" s="8"/>
      <c r="I1" s="8"/>
      <c r="J1" s="8"/>
      <c r="K1" s="8"/>
    </row>
    <row r="2" spans="1:11">
      <c r="A2" s="158" t="s">
        <v>146</v>
      </c>
      <c r="B2" s="158"/>
    </row>
    <row r="4" spans="1:11" ht="13.5" thickBot="1">
      <c r="A4" s="9" t="s">
        <v>325</v>
      </c>
      <c r="B4" s="9"/>
      <c r="C4" s="10" t="s">
        <v>130</v>
      </c>
      <c r="D4" s="10" t="s">
        <v>192</v>
      </c>
      <c r="E4" s="10" t="s">
        <v>222</v>
      </c>
      <c r="F4" s="10" t="s">
        <v>244</v>
      </c>
      <c r="G4" s="10" t="s">
        <v>286</v>
      </c>
      <c r="H4" s="10" t="s">
        <v>297</v>
      </c>
      <c r="I4" s="10" t="s">
        <v>305</v>
      </c>
      <c r="J4" s="10" t="s">
        <v>316</v>
      </c>
      <c r="K4" s="10" t="s">
        <v>351</v>
      </c>
    </row>
    <row r="5" spans="1:11">
      <c r="C5" s="20" t="s">
        <v>138</v>
      </c>
      <c r="D5" s="20" t="s">
        <v>138</v>
      </c>
      <c r="E5" s="20" t="s">
        <v>138</v>
      </c>
      <c r="F5" s="20" t="s">
        <v>138</v>
      </c>
      <c r="G5" s="20" t="s">
        <v>138</v>
      </c>
      <c r="H5" s="20" t="s">
        <v>138</v>
      </c>
      <c r="I5" s="20" t="s">
        <v>138</v>
      </c>
      <c r="J5" s="20" t="s">
        <v>138</v>
      </c>
      <c r="K5" s="20" t="s">
        <v>138</v>
      </c>
    </row>
    <row r="7" spans="1:11">
      <c r="A7" s="11" t="s">
        <v>20</v>
      </c>
      <c r="B7" s="11"/>
      <c r="C7" s="121">
        <v>0.01</v>
      </c>
      <c r="D7" s="121">
        <v>-3.1E-2</v>
      </c>
      <c r="E7" s="121">
        <v>-0.02</v>
      </c>
      <c r="F7" s="121">
        <v>-0.153</v>
      </c>
      <c r="G7" s="121">
        <v>0.157</v>
      </c>
      <c r="H7" s="121">
        <v>-0.01</v>
      </c>
      <c r="I7" s="121">
        <v>-1.7723006959229619E-2</v>
      </c>
      <c r="J7" s="121">
        <v>1.8520413268324157E-2</v>
      </c>
      <c r="K7" s="121">
        <f>+'[2]Revenues Drivers vs PY'!$AF$13</f>
        <v>4.0828235242442567E-3</v>
      </c>
    </row>
    <row r="8" spans="1:11">
      <c r="C8" s="123"/>
      <c r="D8" s="123"/>
      <c r="E8" s="123"/>
      <c r="F8" s="123"/>
      <c r="G8" s="123"/>
      <c r="H8" s="123"/>
      <c r="I8" s="123"/>
      <c r="J8" s="123"/>
      <c r="K8" s="123"/>
    </row>
    <row r="9" spans="1:11">
      <c r="A9" s="11" t="s">
        <v>21</v>
      </c>
      <c r="B9" s="11"/>
      <c r="C9" s="121">
        <v>6.9000000000000006E-2</v>
      </c>
      <c r="D9" s="121">
        <v>6.8000000000000005E-2</v>
      </c>
      <c r="E9" s="121">
        <v>4.2000000000000003E-2</v>
      </c>
      <c r="F9" s="121">
        <v>1.2E-2</v>
      </c>
      <c r="G9" s="121">
        <v>9.0999999999999998E-2</v>
      </c>
      <c r="H9" s="121">
        <v>0.19700000000000001</v>
      </c>
      <c r="I9" s="121">
        <v>8.5831353302927099E-2</v>
      </c>
      <c r="J9" s="121">
        <v>2.4839013076315926E-2</v>
      </c>
      <c r="K9" s="121">
        <f>+'[2]Revenues Drivers vs PY'!$AF$19</f>
        <v>3.8499015514974144E-2</v>
      </c>
    </row>
    <row r="10" spans="1:11">
      <c r="C10" s="123"/>
      <c r="D10" s="123"/>
      <c r="E10" s="123"/>
      <c r="F10" s="123"/>
      <c r="G10" s="123"/>
      <c r="H10" s="123"/>
      <c r="I10" s="123"/>
      <c r="J10" s="123"/>
      <c r="K10" s="123"/>
    </row>
    <row r="11" spans="1:11">
      <c r="A11" s="13" t="s">
        <v>261</v>
      </c>
      <c r="B11" s="13"/>
      <c r="C11" s="121">
        <v>-7.0000000000000001E-3</v>
      </c>
      <c r="D11" s="121">
        <v>-5.8999999999999997E-2</v>
      </c>
      <c r="E11" s="121">
        <v>3.0000000000000001E-3</v>
      </c>
      <c r="F11" s="121">
        <v>-5.0999999999999997E-2</v>
      </c>
      <c r="G11" s="121">
        <v>-8.9999999999999993E-3</v>
      </c>
      <c r="H11" s="121">
        <v>5.3999999999999999E-2</v>
      </c>
      <c r="I11" s="121">
        <v>-6.2907611936367458E-2</v>
      </c>
      <c r="J11" s="121">
        <v>-2.4634924063929111E-2</v>
      </c>
      <c r="K11" s="121">
        <f>+'[2]Revenues Drivers vs PY'!$AF$40</f>
        <v>-3.8095411259942535E-2</v>
      </c>
    </row>
    <row r="12" spans="1:11">
      <c r="C12" s="123"/>
      <c r="D12" s="123"/>
      <c r="E12" s="123"/>
      <c r="F12" s="123"/>
      <c r="G12" s="123"/>
      <c r="H12" s="123"/>
      <c r="I12" s="123"/>
      <c r="J12" s="123"/>
      <c r="K12" s="123"/>
    </row>
    <row r="13" spans="1:11">
      <c r="A13" s="112" t="s">
        <v>195</v>
      </c>
      <c r="B13" s="112"/>
      <c r="C13" s="121">
        <v>4.0000000000000001E-3</v>
      </c>
      <c r="D13" s="121">
        <v>-7.0000000000000001E-3</v>
      </c>
      <c r="E13" s="121">
        <v>0</v>
      </c>
      <c r="F13" s="121">
        <v>0</v>
      </c>
      <c r="G13" s="121">
        <v>0</v>
      </c>
      <c r="H13" s="121">
        <v>0</v>
      </c>
      <c r="I13" s="121">
        <v>0</v>
      </c>
      <c r="J13" s="121">
        <v>0</v>
      </c>
      <c r="K13" s="121">
        <f>+'[2]Revenues Drivers vs PY'!$AF$42</f>
        <v>-4.0713076887685462E-3</v>
      </c>
    </row>
    <row r="14" spans="1:11">
      <c r="C14" s="124"/>
      <c r="D14" s="124"/>
      <c r="E14" s="124"/>
      <c r="F14" s="124"/>
      <c r="G14" s="124"/>
      <c r="H14" s="124"/>
      <c r="I14" s="124"/>
      <c r="J14" s="124"/>
      <c r="K14" s="124"/>
    </row>
    <row r="15" spans="1:11" s="14" customFormat="1" ht="13">
      <c r="A15" s="69" t="s">
        <v>22</v>
      </c>
      <c r="B15" s="69"/>
      <c r="C15" s="125">
        <f t="shared" ref="C15:K15" si="0">SUM(C7,C9,C11,C13)</f>
        <v>7.5999999999999998E-2</v>
      </c>
      <c r="D15" s="125">
        <f t="shared" si="0"/>
        <v>-2.8999999999999991E-2</v>
      </c>
      <c r="E15" s="125">
        <f t="shared" si="0"/>
        <v>2.5000000000000001E-2</v>
      </c>
      <c r="F15" s="125">
        <f t="shared" si="0"/>
        <v>-0.19199999999999998</v>
      </c>
      <c r="G15" s="125">
        <f t="shared" si="0"/>
        <v>0.23899999999999999</v>
      </c>
      <c r="H15" s="125">
        <f t="shared" si="0"/>
        <v>0.24099999999999999</v>
      </c>
      <c r="I15" s="125">
        <f t="shared" si="0"/>
        <v>5.2007344073300155E-3</v>
      </c>
      <c r="J15" s="125">
        <f t="shared" si="0"/>
        <v>1.8724502280710976E-2</v>
      </c>
      <c r="K15" s="125">
        <f t="shared" si="0"/>
        <v>4.1512009050732098E-4</v>
      </c>
    </row>
    <row r="18" spans="1:18" ht="25.5" customHeight="1">
      <c r="A18" s="227" t="s">
        <v>194</v>
      </c>
      <c r="B18" s="227"/>
      <c r="C18" s="227"/>
      <c r="D18" s="227"/>
      <c r="E18" s="227"/>
      <c r="F18" s="227"/>
      <c r="G18" s="227"/>
      <c r="H18" s="227"/>
      <c r="I18" s="38"/>
      <c r="J18" s="38"/>
      <c r="K18" s="38"/>
      <c r="L18" s="38"/>
      <c r="M18" s="38"/>
      <c r="N18" s="38"/>
      <c r="O18" s="38"/>
      <c r="P18" s="38"/>
      <c r="Q18" s="38"/>
      <c r="R18" s="38"/>
    </row>
  </sheetData>
  <mergeCells count="1">
    <mergeCell ref="A18:H18"/>
  </mergeCells>
  <pageMargins left="0" right="0" top="0" bottom="0" header="0" footer="0"/>
  <pageSetup paperSize="9" scale="6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2"/>
    <pageSetUpPr fitToPage="1"/>
  </sheetPr>
  <dimension ref="A1:BM18"/>
  <sheetViews>
    <sheetView showGridLines="0" zoomScaleNormal="100" zoomScaleSheetLayoutView="100" workbookViewId="0">
      <pane xSplit="2" ySplit="6" topLeftCell="BA7" activePane="bottomRight" state="frozen"/>
      <selection activeCell="AQ123" sqref="AQ123"/>
      <selection pane="topRight" activeCell="AQ123" sqref="AQ123"/>
      <selection pane="bottomLeft" activeCell="AQ123" sqref="AQ123"/>
      <selection pane="bottomRight"/>
    </sheetView>
  </sheetViews>
  <sheetFormatPr defaultColWidth="9" defaultRowHeight="12.5" outlineLevelCol="2"/>
  <cols>
    <col min="1" max="1" width="56.58203125" style="2" customWidth="1"/>
    <col min="2" max="2" width="2.58203125" style="2" customWidth="1"/>
    <col min="3" max="5" width="9.58203125" style="2" hidden="1" customWidth="1" outlineLevel="1"/>
    <col min="6" max="6" width="9.58203125" style="2" hidden="1" customWidth="1" outlineLevel="1" collapsed="1"/>
    <col min="7" max="7" width="9.58203125" style="2" hidden="1" customWidth="1" outlineLevel="1"/>
    <col min="8" max="8" width="9.58203125" style="2" hidden="1" customWidth="1" outlineLevel="1" collapsed="1"/>
    <col min="9" max="9" width="9.58203125" style="2" hidden="1" customWidth="1" outlineLevel="1"/>
    <col min="10" max="10" width="9.58203125" style="2" hidden="1" customWidth="1" outlineLevel="1" collapsed="1"/>
    <col min="11" max="11" width="9.58203125" style="2" hidden="1" customWidth="1" outlineLevel="1"/>
    <col min="12" max="12" width="9.58203125" style="2" hidden="1" customWidth="1" outlineLevel="2"/>
    <col min="13" max="13" width="9.58203125" style="2" hidden="1" customWidth="1" outlineLevel="1"/>
    <col min="14" max="14" width="9.58203125" style="2" hidden="1" customWidth="1" outlineLevel="2"/>
    <col min="15" max="18" width="9.58203125" style="2" hidden="1" customWidth="1" outlineLevel="1"/>
    <col min="19" max="19" width="9.58203125" style="2" hidden="1" customWidth="1" outlineLevel="2"/>
    <col min="20" max="20" width="9.58203125" style="2" hidden="1" customWidth="1" outlineLevel="1"/>
    <col min="21" max="21" width="9.58203125" style="2" hidden="1" customWidth="1" outlineLevel="2"/>
    <col min="22" max="22" width="9.58203125" style="2" hidden="1" customWidth="1" outlineLevel="1"/>
    <col min="23" max="23" width="9.58203125" style="2" hidden="1" customWidth="1" outlineLevel="2"/>
    <col min="24" max="25" width="9.58203125" style="2" hidden="1" customWidth="1" outlineLevel="1"/>
    <col min="26" max="26" width="9.58203125" style="2" hidden="1" customWidth="1" outlineLevel="2"/>
    <col min="27" max="27" width="9.58203125" style="2" hidden="1" customWidth="1" outlineLevel="1"/>
    <col min="28" max="28" width="9.58203125" style="2" hidden="1" customWidth="1" outlineLevel="2"/>
    <col min="29" max="29" width="9.58203125" style="2" hidden="1" customWidth="1" outlineLevel="1"/>
    <col min="30" max="30" width="9.58203125" style="2" hidden="1" customWidth="1" outlineLevel="2"/>
    <col min="31" max="32" width="9.58203125" style="2" hidden="1" customWidth="1" outlineLevel="1"/>
    <col min="33" max="33" width="9.58203125" style="2" hidden="1" customWidth="1" outlineLevel="2"/>
    <col min="34" max="34" width="9.58203125" style="2" hidden="1" customWidth="1" outlineLevel="1"/>
    <col min="35" max="35" width="9.58203125" style="2" hidden="1" customWidth="1" outlineLevel="2"/>
    <col min="36" max="36" width="9.58203125" style="2" hidden="1" customWidth="1" outlineLevel="1"/>
    <col min="37" max="37" width="9.58203125" style="2" hidden="1" customWidth="1" outlineLevel="2"/>
    <col min="38" max="38" width="9.58203125" style="2" hidden="1" customWidth="1" outlineLevel="1"/>
    <col min="39" max="39" width="8.58203125" style="2" hidden="1" customWidth="1" outlineLevel="1" collapsed="1"/>
    <col min="40" max="40" width="9" style="2" hidden="1" customWidth="1" outlineLevel="2"/>
    <col min="41" max="41" width="9.58203125" style="2" hidden="1" customWidth="1" outlineLevel="1"/>
    <col min="42" max="42" width="9.58203125" style="2" hidden="1" customWidth="1" outlineLevel="2"/>
    <col min="43" max="43" width="9.58203125" style="2" hidden="1" customWidth="1" outlineLevel="1"/>
    <col min="44" max="44" width="9.58203125" style="2" hidden="1" customWidth="1" outlineLevel="2"/>
    <col min="45" max="45" width="9.58203125" style="2" hidden="1" customWidth="1" outlineLevel="1"/>
    <col min="46" max="46" width="8.58203125" style="2" hidden="1" customWidth="1" outlineLevel="1" collapsed="1"/>
    <col min="47" max="47" width="9" style="2" hidden="1" customWidth="1" outlineLevel="2"/>
    <col min="48" max="48" width="9.58203125" style="2" hidden="1" customWidth="1" outlineLevel="1"/>
    <col min="49" max="49" width="9.58203125" style="2" hidden="1" customWidth="1" outlineLevel="2"/>
    <col min="50" max="50" width="9.58203125" style="2" hidden="1" customWidth="1" outlineLevel="1"/>
    <col min="51" max="51" width="9.58203125" style="2" hidden="1" customWidth="1" outlineLevel="2"/>
    <col min="52" max="52" width="9.58203125" style="2" hidden="1" customWidth="1" outlineLevel="1"/>
    <col min="53" max="53" width="8.58203125" style="2" hidden="1" customWidth="1" outlineLevel="1" collapsed="1"/>
    <col min="54" max="54" width="9" style="2" hidden="1" customWidth="1" outlineLevel="2"/>
    <col min="55" max="55" width="9" style="2" hidden="1" customWidth="1" outlineLevel="1"/>
    <col min="56" max="56" width="9" style="2" hidden="1" customWidth="1" outlineLevel="2"/>
    <col min="57" max="57" width="9" style="2" hidden="1" customWidth="1" outlineLevel="1"/>
    <col min="58" max="58" width="9" style="2" hidden="1" customWidth="1" outlineLevel="1" collapsed="1"/>
    <col min="59" max="59" width="9.58203125" style="2" customWidth="1" collapsed="1"/>
    <col min="60" max="60" width="8.58203125" style="2" customWidth="1" collapsed="1"/>
    <col min="61" max="61" width="9" style="2" hidden="1" customWidth="1" outlineLevel="1"/>
    <col min="62" max="62" width="9" style="2" collapsed="1"/>
    <col min="63" max="63" width="9" style="2" hidden="1" customWidth="1" outlineLevel="1"/>
    <col min="64" max="64" width="9" style="2" collapsed="1"/>
    <col min="65" max="16384" width="9" style="2"/>
  </cols>
  <sheetData>
    <row r="1" spans="1:65" s="7" customFormat="1" ht="27.75" customHeight="1">
      <c r="A1" s="7" t="s">
        <v>257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O1" s="8"/>
      <c r="AP1" s="8"/>
      <c r="AQ1" s="8"/>
      <c r="AR1" s="8"/>
      <c r="AS1" s="8"/>
      <c r="AV1" s="8"/>
      <c r="AW1" s="8"/>
      <c r="AX1" s="8"/>
      <c r="AY1" s="8"/>
      <c r="AZ1" s="8"/>
      <c r="BG1" s="8"/>
    </row>
    <row r="2" spans="1:65">
      <c r="A2" s="158" t="s">
        <v>146</v>
      </c>
      <c r="B2" s="159"/>
    </row>
    <row r="4" spans="1:65" ht="13.5" thickBot="1">
      <c r="A4" s="9" t="s">
        <v>325</v>
      </c>
      <c r="B4" s="9"/>
      <c r="C4" s="10" t="s">
        <v>134</v>
      </c>
      <c r="D4" s="10" t="s">
        <v>133</v>
      </c>
      <c r="E4" s="10" t="s">
        <v>132</v>
      </c>
      <c r="F4" s="10" t="s">
        <v>131</v>
      </c>
      <c r="G4" s="10" t="s">
        <v>97</v>
      </c>
      <c r="H4" s="10" t="s">
        <v>135</v>
      </c>
      <c r="I4" s="10" t="s">
        <v>130</v>
      </c>
      <c r="J4" s="10" t="s">
        <v>170</v>
      </c>
      <c r="K4" s="10" t="s">
        <v>178</v>
      </c>
      <c r="L4" s="10" t="s">
        <v>179</v>
      </c>
      <c r="M4" s="10" t="s">
        <v>191</v>
      </c>
      <c r="N4" s="10" t="s">
        <v>190</v>
      </c>
      <c r="O4" s="10" t="s">
        <v>193</v>
      </c>
      <c r="P4" s="10" t="s">
        <v>192</v>
      </c>
      <c r="Q4" s="10" t="s">
        <v>198</v>
      </c>
      <c r="R4" s="10" t="s">
        <v>215</v>
      </c>
      <c r="S4" s="10" t="s">
        <v>216</v>
      </c>
      <c r="T4" s="10" t="s">
        <v>220</v>
      </c>
      <c r="U4" s="10" t="s">
        <v>221</v>
      </c>
      <c r="V4" s="10" t="s">
        <v>223</v>
      </c>
      <c r="W4" s="10" t="s">
        <v>222</v>
      </c>
      <c r="X4" s="10" t="s">
        <v>235</v>
      </c>
      <c r="Y4" s="10" t="s">
        <v>239</v>
      </c>
      <c r="Z4" s="10" t="s">
        <v>240</v>
      </c>
      <c r="AA4" s="10" t="s">
        <v>242</v>
      </c>
      <c r="AB4" s="10" t="s">
        <v>243</v>
      </c>
      <c r="AC4" s="10" t="s">
        <v>245</v>
      </c>
      <c r="AD4" s="10" t="s">
        <v>244</v>
      </c>
      <c r="AE4" s="10" t="s">
        <v>271</v>
      </c>
      <c r="AF4" s="10" t="s">
        <v>276</v>
      </c>
      <c r="AG4" s="10" t="s">
        <v>277</v>
      </c>
      <c r="AH4" s="10" t="s">
        <v>280</v>
      </c>
      <c r="AI4" s="10" t="s">
        <v>281</v>
      </c>
      <c r="AJ4" s="10" t="s">
        <v>282</v>
      </c>
      <c r="AK4" s="10" t="s">
        <v>286</v>
      </c>
      <c r="AL4" s="10" t="s">
        <v>287</v>
      </c>
      <c r="AM4" s="10" t="s">
        <v>293</v>
      </c>
      <c r="AN4" s="10" t="s">
        <v>294</v>
      </c>
      <c r="AO4" s="10" t="s">
        <v>295</v>
      </c>
      <c r="AP4" s="10" t="s">
        <v>296</v>
      </c>
      <c r="AQ4" s="10" t="s">
        <v>298</v>
      </c>
      <c r="AR4" s="10" t="s">
        <v>297</v>
      </c>
      <c r="AS4" s="10" t="s">
        <v>299</v>
      </c>
      <c r="AT4" s="10" t="s">
        <v>300</v>
      </c>
      <c r="AU4" s="10" t="s">
        <v>301</v>
      </c>
      <c r="AV4" s="10" t="s">
        <v>302</v>
      </c>
      <c r="AW4" s="10" t="s">
        <v>303</v>
      </c>
      <c r="AX4" s="10" t="s">
        <v>306</v>
      </c>
      <c r="AY4" s="10" t="s">
        <v>305</v>
      </c>
      <c r="AZ4" s="10" t="s">
        <v>308</v>
      </c>
      <c r="BA4" s="10" t="s">
        <v>310</v>
      </c>
      <c r="BB4" s="10" t="s">
        <v>311</v>
      </c>
      <c r="BC4" s="10" t="s">
        <v>312</v>
      </c>
      <c r="BD4" s="10" t="s">
        <v>313</v>
      </c>
      <c r="BE4" s="10" t="s">
        <v>317</v>
      </c>
      <c r="BF4" s="10" t="s">
        <v>316</v>
      </c>
      <c r="BG4" s="10" t="s">
        <v>324</v>
      </c>
      <c r="BH4" s="10" t="s">
        <v>344</v>
      </c>
      <c r="BI4" s="10" t="s">
        <v>345</v>
      </c>
      <c r="BJ4" s="10" t="s">
        <v>347</v>
      </c>
      <c r="BK4" s="10" t="s">
        <v>348</v>
      </c>
      <c r="BL4" s="10" t="s">
        <v>352</v>
      </c>
      <c r="BM4" s="10" t="s">
        <v>351</v>
      </c>
    </row>
    <row r="5" spans="1:65">
      <c r="C5" s="20" t="s">
        <v>138</v>
      </c>
      <c r="D5" s="20" t="s">
        <v>138</v>
      </c>
      <c r="E5" s="20" t="s">
        <v>138</v>
      </c>
      <c r="F5" s="20" t="s">
        <v>138</v>
      </c>
      <c r="G5" s="20" t="s">
        <v>138</v>
      </c>
      <c r="H5" s="20" t="s">
        <v>138</v>
      </c>
      <c r="I5" s="20" t="s">
        <v>138</v>
      </c>
      <c r="J5" s="20" t="s">
        <v>138</v>
      </c>
      <c r="K5" s="20" t="s">
        <v>138</v>
      </c>
      <c r="L5" s="20" t="s">
        <v>138</v>
      </c>
      <c r="M5" s="20" t="s">
        <v>138</v>
      </c>
      <c r="N5" s="20" t="s">
        <v>138</v>
      </c>
      <c r="O5" s="20" t="s">
        <v>138</v>
      </c>
      <c r="P5" s="20" t="s">
        <v>138</v>
      </c>
      <c r="Q5" s="20" t="s">
        <v>138</v>
      </c>
      <c r="R5" s="20" t="s">
        <v>138</v>
      </c>
      <c r="S5" s="20" t="s">
        <v>138</v>
      </c>
      <c r="T5" s="20" t="s">
        <v>138</v>
      </c>
      <c r="U5" s="20" t="s">
        <v>138</v>
      </c>
      <c r="V5" s="20" t="s">
        <v>138</v>
      </c>
      <c r="W5" s="20" t="s">
        <v>138</v>
      </c>
      <c r="X5" s="20" t="s">
        <v>138</v>
      </c>
      <c r="Y5" s="20" t="s">
        <v>138</v>
      </c>
      <c r="Z5" s="20" t="s">
        <v>138</v>
      </c>
      <c r="AA5" s="20" t="s">
        <v>138</v>
      </c>
      <c r="AB5" s="20" t="s">
        <v>138</v>
      </c>
      <c r="AC5" s="20" t="s">
        <v>138</v>
      </c>
      <c r="AD5" s="20" t="s">
        <v>138</v>
      </c>
      <c r="AE5" s="20" t="s">
        <v>138</v>
      </c>
      <c r="AF5" s="20" t="s">
        <v>138</v>
      </c>
      <c r="AG5" s="20" t="s">
        <v>138</v>
      </c>
      <c r="AH5" s="20" t="s">
        <v>138</v>
      </c>
      <c r="AI5" s="20" t="s">
        <v>138</v>
      </c>
      <c r="AJ5" s="20" t="s">
        <v>138</v>
      </c>
      <c r="AK5" s="20" t="s">
        <v>138</v>
      </c>
      <c r="AL5" s="20" t="s">
        <v>138</v>
      </c>
      <c r="AM5" s="20" t="s">
        <v>138</v>
      </c>
      <c r="AN5" s="20" t="s">
        <v>138</v>
      </c>
      <c r="AO5" s="20" t="s">
        <v>138</v>
      </c>
      <c r="AP5" s="20" t="s">
        <v>138</v>
      </c>
      <c r="AQ5" s="20" t="s">
        <v>138</v>
      </c>
      <c r="AR5" s="20" t="s">
        <v>138</v>
      </c>
      <c r="AS5" s="20" t="s">
        <v>138</v>
      </c>
      <c r="AT5" s="20" t="s">
        <v>138</v>
      </c>
      <c r="AU5" s="20" t="s">
        <v>138</v>
      </c>
      <c r="AV5" s="20" t="s">
        <v>138</v>
      </c>
      <c r="AW5" s="20" t="s">
        <v>138</v>
      </c>
      <c r="AX5" s="20" t="s">
        <v>138</v>
      </c>
      <c r="AY5" s="20" t="s">
        <v>138</v>
      </c>
      <c r="AZ5" s="20" t="s">
        <v>138</v>
      </c>
      <c r="BA5" s="20" t="s">
        <v>138</v>
      </c>
      <c r="BB5" s="20" t="s">
        <v>138</v>
      </c>
      <c r="BC5" s="20" t="s">
        <v>138</v>
      </c>
      <c r="BD5" s="20" t="s">
        <v>138</v>
      </c>
      <c r="BE5" s="20" t="s">
        <v>138</v>
      </c>
      <c r="BF5" s="20" t="s">
        <v>138</v>
      </c>
      <c r="BG5" s="20" t="s">
        <v>138</v>
      </c>
      <c r="BH5" s="20" t="s">
        <v>138</v>
      </c>
      <c r="BI5" s="20" t="s">
        <v>138</v>
      </c>
      <c r="BJ5" s="20" t="s">
        <v>138</v>
      </c>
      <c r="BK5" s="20" t="s">
        <v>138</v>
      </c>
      <c r="BL5" s="20" t="s">
        <v>138</v>
      </c>
      <c r="BM5" s="20" t="s">
        <v>138</v>
      </c>
    </row>
    <row r="7" spans="1:65">
      <c r="A7" s="11" t="s">
        <v>20</v>
      </c>
      <c r="B7" s="11"/>
      <c r="C7" s="121">
        <v>2.9000000000000001E-2</v>
      </c>
      <c r="D7" s="121">
        <v>-3.0000000000000001E-3</v>
      </c>
      <c r="E7" s="121">
        <v>1.2999999999999999E-2</v>
      </c>
      <c r="F7" s="121">
        <v>0.01</v>
      </c>
      <c r="G7" s="121">
        <v>1.2E-2</v>
      </c>
      <c r="H7" s="121">
        <v>5.0000000000000001E-3</v>
      </c>
      <c r="I7" s="122">
        <f>'Adj. Rev. detail - FY'!C7</f>
        <v>0.01</v>
      </c>
      <c r="J7" s="121">
        <v>-1.4999999999999999E-2</v>
      </c>
      <c r="K7" s="121">
        <v>-8.9999999999999993E-3</v>
      </c>
      <c r="L7" s="121">
        <v>-1.2E-2</v>
      </c>
      <c r="M7" s="121">
        <v>-0.03</v>
      </c>
      <c r="N7" s="121">
        <v>-1.7999999999999999E-2</v>
      </c>
      <c r="O7" s="121">
        <v>-7.0999999999999994E-2</v>
      </c>
      <c r="P7" s="122">
        <f>'Adj. Rev. detail - FY'!D7</f>
        <v>-3.1E-2</v>
      </c>
      <c r="Q7" s="121">
        <v>-6.5000000000000002E-2</v>
      </c>
      <c r="R7" s="121">
        <v>-3.5000000000000003E-2</v>
      </c>
      <c r="S7" s="121">
        <v>-0.05</v>
      </c>
      <c r="T7" s="121">
        <v>6.0000000000000001E-3</v>
      </c>
      <c r="U7" s="121">
        <v>-3.1E-2</v>
      </c>
      <c r="V7" s="121">
        <v>1.4999999999999999E-2</v>
      </c>
      <c r="W7" s="122">
        <f>'Adj. Rev. detail - FY'!E7</f>
        <v>-0.02</v>
      </c>
      <c r="X7" s="121">
        <v>-0.17199999999999999</v>
      </c>
      <c r="Y7" s="121">
        <v>-0.41599999999999998</v>
      </c>
      <c r="Z7" s="121">
        <v>-0.29499999999999998</v>
      </c>
      <c r="AA7" s="121">
        <v>-3.78E-2</v>
      </c>
      <c r="AB7" s="121">
        <v>-0.20699999999999999</v>
      </c>
      <c r="AC7" s="121">
        <v>1.0999999999999999E-2</v>
      </c>
      <c r="AD7" s="122">
        <f>'Adj. Rev. detail - FY'!F7</f>
        <v>-0.153</v>
      </c>
      <c r="AE7" s="121">
        <v>0.222</v>
      </c>
      <c r="AF7" s="121">
        <v>0.69899999999999995</v>
      </c>
      <c r="AG7" s="121">
        <v>0.42299999999999999</v>
      </c>
      <c r="AH7" s="121">
        <v>-4.0000000000000001E-3</v>
      </c>
      <c r="AI7" s="121">
        <v>0.247</v>
      </c>
      <c r="AJ7" s="121">
        <v>-7.2999999999999995E-2</v>
      </c>
      <c r="AK7" s="122">
        <f>'Adj. Rev. detail - FY'!G7</f>
        <v>0.157</v>
      </c>
      <c r="AL7" s="121">
        <v>-1.4E-2</v>
      </c>
      <c r="AM7" s="121">
        <v>-6.0000000000000001E-3</v>
      </c>
      <c r="AN7" s="121">
        <v>-0.01</v>
      </c>
      <c r="AO7" s="121">
        <v>1.8021122187878304E-2</v>
      </c>
      <c r="AP7" s="121">
        <v>6.9003489343154596E-5</v>
      </c>
      <c r="AQ7" s="121">
        <v>-3.7999999999999999E-2</v>
      </c>
      <c r="AR7" s="122">
        <f>'Adj. Rev. detail - FY'!H7</f>
        <v>-0.01</v>
      </c>
      <c r="AS7" s="121">
        <v>-3.1E-2</v>
      </c>
      <c r="AT7" s="121">
        <v>-1.1398550197830938E-2</v>
      </c>
      <c r="AU7" s="121">
        <v>-2.078E-2</v>
      </c>
      <c r="AV7" s="121">
        <v>-4.5578416062998825E-2</v>
      </c>
      <c r="AW7" s="121">
        <v>-2.9823559993438487E-2</v>
      </c>
      <c r="AX7" s="121">
        <v>2.07802186190497E-2</v>
      </c>
      <c r="AY7" s="121">
        <f>+'Adj. Rev. detail - FY'!I7</f>
        <v>-1.7723006959229619E-2</v>
      </c>
      <c r="AZ7" s="121">
        <v>2.3E-2</v>
      </c>
      <c r="BA7" s="121">
        <v>1.2E-2</v>
      </c>
      <c r="BB7" s="121">
        <v>1.7999999999999999E-2</v>
      </c>
      <c r="BC7" s="121">
        <v>3.0471749667326634E-2</v>
      </c>
      <c r="BD7" s="121">
        <v>2.2111847329051804E-2</v>
      </c>
      <c r="BE7" s="121">
        <v>5.189016882134247E-3</v>
      </c>
      <c r="BF7" s="121">
        <f>+'Adj. Rev. detail - FY'!J7</f>
        <v>1.8520413268324157E-2</v>
      </c>
      <c r="BG7" s="121">
        <v>8.4403374951305763E-3</v>
      </c>
      <c r="BH7" s="121">
        <v>1E-3</v>
      </c>
      <c r="BI7" s="121">
        <v>5.0000000000000001E-3</v>
      </c>
      <c r="BJ7" s="121">
        <v>-1.5302709852858835E-2</v>
      </c>
      <c r="BK7" s="121">
        <v>-2.1725759577123659E-3</v>
      </c>
      <c r="BL7" s="121">
        <f>+'[2]Revenues Drivers vs PY'!$P$13</f>
        <v>2.4495435809120746E-2</v>
      </c>
      <c r="BM7" s="121">
        <f>+'Adj. Rev. detail - FY'!K7</f>
        <v>4.0828235242442567E-3</v>
      </c>
    </row>
    <row r="8" spans="1:65">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row>
    <row r="9" spans="1:65">
      <c r="A9" s="11" t="s">
        <v>21</v>
      </c>
      <c r="B9" s="11"/>
      <c r="C9" s="121">
        <v>5.5E-2</v>
      </c>
      <c r="D9" s="121">
        <v>6.5000000000000002E-2</v>
      </c>
      <c r="E9" s="121">
        <v>5.8999999999999997E-2</v>
      </c>
      <c r="F9" s="121">
        <v>7.2999999999999995E-2</v>
      </c>
      <c r="G9" s="121">
        <v>6.5000000000000002E-2</v>
      </c>
      <c r="H9" s="121">
        <v>7.8E-2</v>
      </c>
      <c r="I9" s="122">
        <f>'Adj. Rev. detail - FY'!C9</f>
        <v>6.9000000000000006E-2</v>
      </c>
      <c r="J9" s="121">
        <v>7.1999999999999995E-2</v>
      </c>
      <c r="K9" s="121">
        <v>6.2E-2</v>
      </c>
      <c r="L9" s="121">
        <v>6.7000000000000004E-2</v>
      </c>
      <c r="M9" s="121">
        <v>5.5E-2</v>
      </c>
      <c r="N9" s="121">
        <v>6.2E-2</v>
      </c>
      <c r="O9" s="121">
        <v>8.1000000000000003E-2</v>
      </c>
      <c r="P9" s="122">
        <f>'Adj. Rev. detail - FY'!D9</f>
        <v>6.8000000000000005E-2</v>
      </c>
      <c r="Q9" s="121">
        <v>7.6999999999999999E-2</v>
      </c>
      <c r="R9" s="121">
        <v>5.0999999999999997E-2</v>
      </c>
      <c r="S9" s="121">
        <v>6.4000000000000001E-2</v>
      </c>
      <c r="T9" s="121">
        <v>3.5000000000000003E-2</v>
      </c>
      <c r="U9" s="121">
        <v>5.3999999999999999E-2</v>
      </c>
      <c r="V9" s="121">
        <v>5.0000000000000001E-3</v>
      </c>
      <c r="W9" s="122">
        <f>'Adj. Rev. detail - FY'!E9</f>
        <v>4.2000000000000003E-2</v>
      </c>
      <c r="X9" s="121">
        <v>-1.2999999999999999E-2</v>
      </c>
      <c r="Y9" s="121">
        <v>3.3000000000000002E-2</v>
      </c>
      <c r="Z9" s="121">
        <v>0.01</v>
      </c>
      <c r="AA9" s="121">
        <v>2.3099999999999999E-2</v>
      </c>
      <c r="AB9" s="121">
        <v>1.4E-2</v>
      </c>
      <c r="AC9" s="121">
        <v>6.0000000000000001E-3</v>
      </c>
      <c r="AD9" s="122">
        <f>'Adj. Rev. detail - FY'!F9</f>
        <v>1.2E-2</v>
      </c>
      <c r="AE9" s="121">
        <v>2.3E-2</v>
      </c>
      <c r="AF9" s="121">
        <v>0.04</v>
      </c>
      <c r="AG9" s="121">
        <v>0.03</v>
      </c>
      <c r="AH9" s="121">
        <v>0.109</v>
      </c>
      <c r="AI9" s="121">
        <v>6.3E-2</v>
      </c>
      <c r="AJ9" s="121">
        <v>0.16300000000000001</v>
      </c>
      <c r="AK9" s="122">
        <f>'Adj. Rev. detail - FY'!G9</f>
        <v>9.0999999999999998E-2</v>
      </c>
      <c r="AL9" s="121">
        <v>0.20399999999999999</v>
      </c>
      <c r="AM9" s="121">
        <v>0.20399999999999999</v>
      </c>
      <c r="AN9" s="121">
        <v>0.20399999999999999</v>
      </c>
      <c r="AO9" s="121">
        <v>0.1937642063253788</v>
      </c>
      <c r="AP9" s="121">
        <v>0.20021112262002791</v>
      </c>
      <c r="AQ9" s="121">
        <v>0.186</v>
      </c>
      <c r="AR9" s="122">
        <f>'Adj. Rev. detail - FY'!H9</f>
        <v>0.19700000000000001</v>
      </c>
      <c r="AS9" s="121">
        <v>0.151</v>
      </c>
      <c r="AT9" s="121">
        <v>0.10154127185609332</v>
      </c>
      <c r="AU9" s="121">
        <v>0.12520000000000001</v>
      </c>
      <c r="AV9" s="121">
        <v>6.797667274595158E-2</v>
      </c>
      <c r="AW9" s="121">
        <v>0.1043458966224344</v>
      </c>
      <c r="AX9" s="121">
        <v>2.6914597591441498E-2</v>
      </c>
      <c r="AY9" s="121">
        <f>+'Adj. Rev. detail - FY'!I9</f>
        <v>8.5831353302927099E-2</v>
      </c>
      <c r="AZ9" s="121">
        <v>2.3E-2</v>
      </c>
      <c r="BA9" s="121">
        <v>3.3000000000000002E-2</v>
      </c>
      <c r="BB9" s="121">
        <v>2.8000000000000001E-2</v>
      </c>
      <c r="BC9" s="121">
        <v>2.4940445224567745E-2</v>
      </c>
      <c r="BD9" s="121">
        <v>2.6851856150682606E-2</v>
      </c>
      <c r="BE9" s="121">
        <v>1.7871327983730319E-2</v>
      </c>
      <c r="BF9" s="121">
        <f>+'Adj. Rev. detail - FY'!J9</f>
        <v>2.4839013076315926E-2</v>
      </c>
      <c r="BG9" s="121">
        <v>3.8766980059524545E-2</v>
      </c>
      <c r="BH9" s="121">
        <v>3.9E-2</v>
      </c>
      <c r="BI9" s="121">
        <v>3.9E-2</v>
      </c>
      <c r="BJ9" s="121">
        <v>3.8727292547486997E-2</v>
      </c>
      <c r="BK9" s="121">
        <v>3.8994040586700932E-2</v>
      </c>
      <c r="BL9" s="121">
        <f>+'[2]Revenues Drivers vs PY'!$P$19</f>
        <v>3.6896534619063712E-2</v>
      </c>
      <c r="BM9" s="121">
        <f>+'Adj. Rev. detail - FY'!K9</f>
        <v>3.8499015514974144E-2</v>
      </c>
    </row>
    <row r="10" spans="1:65">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c r="BG10" s="123"/>
      <c r="BH10" s="123"/>
      <c r="BI10" s="123"/>
      <c r="BJ10" s="123"/>
      <c r="BK10" s="123"/>
      <c r="BL10" s="123"/>
      <c r="BM10" s="123"/>
    </row>
    <row r="11" spans="1:65">
      <c r="A11" s="13" t="s">
        <v>261</v>
      </c>
      <c r="B11" s="13"/>
      <c r="C11" s="121">
        <v>0.04</v>
      </c>
      <c r="D11" s="121">
        <v>1.2E-2</v>
      </c>
      <c r="E11" s="121">
        <v>2.5999999999999999E-2</v>
      </c>
      <c r="F11" s="121">
        <v>-3.1E-2</v>
      </c>
      <c r="G11" s="121">
        <v>6.0000000000000001E-3</v>
      </c>
      <c r="H11" s="121">
        <v>-4.4999999999999998E-2</v>
      </c>
      <c r="I11" s="122">
        <f>'Adj. Rev. detail - FY'!C11</f>
        <v>-7.0000000000000001E-3</v>
      </c>
      <c r="J11" s="121">
        <v>-7.2999999999999995E-2</v>
      </c>
      <c r="K11" s="121">
        <v>-6.6000000000000003E-2</v>
      </c>
      <c r="L11" s="121">
        <v>-6.9000000000000006E-2</v>
      </c>
      <c r="M11" s="121">
        <v>-6.0999999999999999E-2</v>
      </c>
      <c r="N11" s="121">
        <v>-6.6000000000000003E-2</v>
      </c>
      <c r="O11" s="121">
        <v>-3.4000000000000002E-2</v>
      </c>
      <c r="P11" s="122">
        <f>'Adj. Rev. detail - FY'!D11</f>
        <v>-5.8999999999999997E-2</v>
      </c>
      <c r="Q11" s="121">
        <v>-8.9999999999999993E-3</v>
      </c>
      <c r="R11" s="121">
        <v>0</v>
      </c>
      <c r="S11" s="121">
        <v>-5.0000000000000001E-3</v>
      </c>
      <c r="T11" s="121">
        <v>2.5999999999999999E-2</v>
      </c>
      <c r="U11" s="121">
        <v>5.0000000000000001E-3</v>
      </c>
      <c r="V11" s="121">
        <v>-6.0000000000000001E-3</v>
      </c>
      <c r="W11" s="122">
        <f>'Adj. Rev. detail - FY'!E11</f>
        <v>3.0000000000000001E-3</v>
      </c>
      <c r="X11" s="121">
        <v>-1.4999999999999999E-2</v>
      </c>
      <c r="Y11" s="121">
        <v>-4.7E-2</v>
      </c>
      <c r="Z11" s="121">
        <v>-3.1E-2</v>
      </c>
      <c r="AA11" s="121">
        <v>-0.06</v>
      </c>
      <c r="AB11" s="121">
        <v>-4.1000000000000002E-2</v>
      </c>
      <c r="AC11" s="121">
        <v>-7.8E-2</v>
      </c>
      <c r="AD11" s="122">
        <f>'Adj. Rev. detail - FY'!F11</f>
        <v>-5.0999999999999997E-2</v>
      </c>
      <c r="AE11" s="121">
        <v>-6.0999999999999999E-2</v>
      </c>
      <c r="AF11" s="121">
        <v>-1.2999999999999999E-2</v>
      </c>
      <c r="AG11" s="121">
        <v>-4.1000000000000002E-2</v>
      </c>
      <c r="AH11" s="121">
        <v>2E-3</v>
      </c>
      <c r="AI11" s="121">
        <v>-2.4E-2</v>
      </c>
      <c r="AJ11" s="121">
        <v>2.9000000000000001E-2</v>
      </c>
      <c r="AK11" s="122">
        <f>'Adj. Rev. detail - FY'!G11</f>
        <v>-8.9999999999999993E-3</v>
      </c>
      <c r="AL11" s="121">
        <v>3.2000000000000001E-2</v>
      </c>
      <c r="AM11" s="121">
        <v>7.0999999999999994E-2</v>
      </c>
      <c r="AN11" s="121">
        <v>5.1999999999999998E-2</v>
      </c>
      <c r="AO11" s="121">
        <v>8.6469066187125548E-2</v>
      </c>
      <c r="AP11" s="121">
        <v>6.459971334969189E-2</v>
      </c>
      <c r="AQ11" s="121">
        <v>2.1999999999999999E-2</v>
      </c>
      <c r="AR11" s="122">
        <f>'Adj. Rev. detail - FY'!H11</f>
        <v>5.3999999999999999E-2</v>
      </c>
      <c r="AS11" s="121">
        <v>-3.0000000000000001E-3</v>
      </c>
      <c r="AT11" s="121">
        <v>-5.3505928259158675E-2</v>
      </c>
      <c r="AU11" s="121">
        <v>-2.92E-2</v>
      </c>
      <c r="AV11" s="121">
        <v>-8.4259117786320906E-2</v>
      </c>
      <c r="AW11" s="121">
        <v>-4.9310122990593522E-2</v>
      </c>
      <c r="AX11" s="121">
        <v>-0.10614709455805311</v>
      </c>
      <c r="AY11" s="121">
        <f>+'Adj. Rev. detail - FY'!I11</f>
        <v>-6.2907611936367458E-2</v>
      </c>
      <c r="AZ11" s="121">
        <v>-4.8000000000000001E-2</v>
      </c>
      <c r="BA11" s="121">
        <v>-3.6999999999999998E-2</v>
      </c>
      <c r="BB11" s="121">
        <v>-4.2999999999999997E-2</v>
      </c>
      <c r="BC11" s="121">
        <v>-4.7460373107400373E-2</v>
      </c>
      <c r="BD11" s="121">
        <v>-4.4253835484205369E-2</v>
      </c>
      <c r="BE11" s="121">
        <v>4.3314553501097738E-2</v>
      </c>
      <c r="BF11" s="121">
        <f>+'Adj. Rev. detail - FY'!J11</f>
        <v>-2.4634924063929111E-2</v>
      </c>
      <c r="BG11" s="121">
        <v>-9.9806921638412524E-3</v>
      </c>
      <c r="BH11" s="121">
        <v>-4.7E-2</v>
      </c>
      <c r="BI11" s="121">
        <v>-2.9000000000000001E-2</v>
      </c>
      <c r="BJ11" s="121">
        <v>-4.2894248543032851E-2</v>
      </c>
      <c r="BK11" s="121">
        <v>-3.3505250769645806E-2</v>
      </c>
      <c r="BL11" s="121">
        <f>+'[2]Revenues Drivers vs PY'!$P$40</f>
        <v>-5.3106649600113791E-2</v>
      </c>
      <c r="BM11" s="121">
        <f>+'Adj. Rev. detail - FY'!K11</f>
        <v>-3.8095411259942535E-2</v>
      </c>
    </row>
    <row r="12" spans="1:65">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123"/>
      <c r="BK12" s="123"/>
      <c r="BL12" s="123"/>
      <c r="BM12" s="123"/>
    </row>
    <row r="13" spans="1:65">
      <c r="A13" s="110" t="s">
        <v>173</v>
      </c>
      <c r="B13" s="11"/>
      <c r="C13" s="121">
        <v>0.01</v>
      </c>
      <c r="D13" s="121">
        <v>6.0000000000000001E-3</v>
      </c>
      <c r="E13" s="121">
        <v>8.0000000000000002E-3</v>
      </c>
      <c r="F13" s="121">
        <v>6.0000000000000001E-3</v>
      </c>
      <c r="G13" s="121">
        <v>7.0000000000000001E-3</v>
      </c>
      <c r="H13" s="121">
        <v>-3.0000000000000001E-3</v>
      </c>
      <c r="I13" s="122">
        <f>'Adj. Rev. detail - FY'!C13</f>
        <v>4.0000000000000001E-3</v>
      </c>
      <c r="J13" s="121">
        <v>-6.0000000000000001E-3</v>
      </c>
      <c r="K13" s="121">
        <v>-6.0000000000000001E-3</v>
      </c>
      <c r="L13" s="121">
        <v>-6.0000000000000001E-3</v>
      </c>
      <c r="M13" s="121">
        <v>-7.0000000000000001E-3</v>
      </c>
      <c r="N13" s="121">
        <v>-6.0000000000000001E-3</v>
      </c>
      <c r="O13" s="121">
        <v>-0.01</v>
      </c>
      <c r="P13" s="122">
        <f>'Adj. Rev. detail - FY'!D13</f>
        <v>-7.0000000000000001E-3</v>
      </c>
      <c r="Q13" s="121">
        <v>0</v>
      </c>
      <c r="R13" s="121">
        <v>0</v>
      </c>
      <c r="S13" s="121">
        <v>0</v>
      </c>
      <c r="T13" s="121">
        <v>0</v>
      </c>
      <c r="U13" s="121">
        <v>0</v>
      </c>
      <c r="V13" s="121">
        <v>0</v>
      </c>
      <c r="W13" s="122">
        <f>'Adj. Rev. detail - FY'!E13</f>
        <v>0</v>
      </c>
      <c r="X13" s="121">
        <v>0</v>
      </c>
      <c r="Y13" s="121">
        <v>0</v>
      </c>
      <c r="Z13" s="121">
        <v>0</v>
      </c>
      <c r="AA13" s="121">
        <v>0</v>
      </c>
      <c r="AB13" s="121">
        <v>0</v>
      </c>
      <c r="AC13" s="121">
        <v>0</v>
      </c>
      <c r="AD13" s="122">
        <f>'Adj. Rev. detail - FY'!F13</f>
        <v>0</v>
      </c>
      <c r="AE13" s="121">
        <v>0</v>
      </c>
      <c r="AF13" s="121">
        <v>0</v>
      </c>
      <c r="AG13" s="121">
        <v>0</v>
      </c>
      <c r="AH13" s="121">
        <v>0</v>
      </c>
      <c r="AI13" s="121">
        <v>0</v>
      </c>
      <c r="AJ13" s="121">
        <v>0</v>
      </c>
      <c r="AK13" s="122">
        <f>'Adj. Rev. detail - FY'!G13</f>
        <v>0</v>
      </c>
      <c r="AL13" s="121">
        <v>0</v>
      </c>
      <c r="AM13" s="121">
        <v>0</v>
      </c>
      <c r="AN13" s="121">
        <v>0</v>
      </c>
      <c r="AO13" s="121">
        <v>0</v>
      </c>
      <c r="AP13" s="121">
        <v>0</v>
      </c>
      <c r="AQ13" s="121">
        <v>0</v>
      </c>
      <c r="AR13" s="122">
        <f>'Adj. Rev. detail - FY'!H13</f>
        <v>0</v>
      </c>
      <c r="AS13" s="121">
        <v>0</v>
      </c>
      <c r="AT13" s="121">
        <v>0</v>
      </c>
      <c r="AU13" s="121">
        <v>0</v>
      </c>
      <c r="AV13" s="121">
        <v>0</v>
      </c>
      <c r="AW13" s="121">
        <v>0</v>
      </c>
      <c r="AX13" s="121">
        <v>0</v>
      </c>
      <c r="AY13" s="121">
        <v>0</v>
      </c>
      <c r="AZ13" s="121">
        <v>0</v>
      </c>
      <c r="BA13" s="121">
        <v>0</v>
      </c>
      <c r="BB13" s="121">
        <v>0</v>
      </c>
      <c r="BC13" s="121">
        <v>0</v>
      </c>
      <c r="BD13" s="121">
        <v>0</v>
      </c>
      <c r="BE13" s="121">
        <v>0</v>
      </c>
      <c r="BF13" s="121">
        <f>+'Adj. Rev. detail - FY'!J13</f>
        <v>0</v>
      </c>
      <c r="BG13" s="121">
        <v>0</v>
      </c>
      <c r="BH13" s="121">
        <v>0</v>
      </c>
      <c r="BI13" s="121">
        <v>0</v>
      </c>
      <c r="BJ13" s="121">
        <v>-3.7926731115700517E-3</v>
      </c>
      <c r="BK13" s="121">
        <v>-1.2706845813474858E-3</v>
      </c>
      <c r="BL13" s="121">
        <f>+'[2]Revenues Drivers vs PY'!$P$42</f>
        <v>-1.3210297742521368E-2</v>
      </c>
      <c r="BM13" s="121">
        <f>+'Adj. Rev. detail - FY'!K13</f>
        <v>-4.0713076887685462E-3</v>
      </c>
    </row>
    <row r="14" spans="1:65">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row>
    <row r="15" spans="1:65" s="14" customFormat="1" ht="13">
      <c r="A15" s="69" t="s">
        <v>22</v>
      </c>
      <c r="B15" s="69"/>
      <c r="C15" s="125">
        <f t="shared" ref="C15:AS15" si="0">IFERROR(C7+C9+C11+C13,"n.a.")</f>
        <v>0.13400000000000001</v>
      </c>
      <c r="D15" s="125">
        <f t="shared" si="0"/>
        <v>0.08</v>
      </c>
      <c r="E15" s="125">
        <f t="shared" si="0"/>
        <v>0.10599999999999998</v>
      </c>
      <c r="F15" s="125">
        <f t="shared" si="0"/>
        <v>5.7999999999999989E-2</v>
      </c>
      <c r="G15" s="125">
        <f t="shared" si="0"/>
        <v>9.0000000000000011E-2</v>
      </c>
      <c r="H15" s="125">
        <f t="shared" si="0"/>
        <v>3.5000000000000003E-2</v>
      </c>
      <c r="I15" s="125">
        <f t="shared" si="0"/>
        <v>7.5999999999999998E-2</v>
      </c>
      <c r="J15" s="125">
        <f t="shared" si="0"/>
        <v>-2.1999999999999999E-2</v>
      </c>
      <c r="K15" s="125">
        <f t="shared" si="0"/>
        <v>-1.9000000000000003E-2</v>
      </c>
      <c r="L15" s="125">
        <f t="shared" si="0"/>
        <v>-1.9999999999999997E-2</v>
      </c>
      <c r="M15" s="125">
        <f t="shared" si="0"/>
        <v>-4.2999999999999997E-2</v>
      </c>
      <c r="N15" s="125">
        <f t="shared" si="0"/>
        <v>-2.8000000000000004E-2</v>
      </c>
      <c r="O15" s="125">
        <f t="shared" si="0"/>
        <v>-3.3999999999999996E-2</v>
      </c>
      <c r="P15" s="125">
        <f t="shared" si="0"/>
        <v>-2.8999999999999991E-2</v>
      </c>
      <c r="Q15" s="125">
        <f t="shared" si="0"/>
        <v>2.9999999999999975E-3</v>
      </c>
      <c r="R15" s="125">
        <f t="shared" si="0"/>
        <v>1.5999999999999993E-2</v>
      </c>
      <c r="S15" s="125">
        <f t="shared" si="0"/>
        <v>8.9999999999999976E-3</v>
      </c>
      <c r="T15" s="125">
        <f t="shared" si="0"/>
        <v>6.7000000000000004E-2</v>
      </c>
      <c r="U15" s="125">
        <f t="shared" si="0"/>
        <v>2.8000000000000001E-2</v>
      </c>
      <c r="V15" s="125">
        <f t="shared" si="0"/>
        <v>1.4E-2</v>
      </c>
      <c r="W15" s="125">
        <f t="shared" si="0"/>
        <v>2.5000000000000001E-2</v>
      </c>
      <c r="X15" s="125">
        <f t="shared" si="0"/>
        <v>-0.2</v>
      </c>
      <c r="Y15" s="125">
        <f t="shared" si="0"/>
        <v>-0.43</v>
      </c>
      <c r="Z15" s="125">
        <f t="shared" si="0"/>
        <v>-0.31599999999999995</v>
      </c>
      <c r="AA15" s="125">
        <f t="shared" si="0"/>
        <v>-7.4700000000000003E-2</v>
      </c>
      <c r="AB15" s="125">
        <f t="shared" si="0"/>
        <v>-0.23399999999999999</v>
      </c>
      <c r="AC15" s="125">
        <f t="shared" si="0"/>
        <v>-6.0999999999999999E-2</v>
      </c>
      <c r="AD15" s="125">
        <f t="shared" si="0"/>
        <v>-0.19199999999999998</v>
      </c>
      <c r="AE15" s="125">
        <f t="shared" si="0"/>
        <v>0.184</v>
      </c>
      <c r="AF15" s="125">
        <f t="shared" si="0"/>
        <v>0.72599999999999998</v>
      </c>
      <c r="AG15" s="125">
        <f t="shared" si="0"/>
        <v>0.41199999999999998</v>
      </c>
      <c r="AH15" s="125">
        <f t="shared" si="0"/>
        <v>0.107</v>
      </c>
      <c r="AI15" s="125">
        <f t="shared" si="0"/>
        <v>0.28599999999999998</v>
      </c>
      <c r="AJ15" s="125">
        <f t="shared" si="0"/>
        <v>0.11900000000000001</v>
      </c>
      <c r="AK15" s="125">
        <f t="shared" si="0"/>
        <v>0.23899999999999999</v>
      </c>
      <c r="AL15" s="125">
        <f t="shared" si="0"/>
        <v>0.22199999999999998</v>
      </c>
      <c r="AM15" s="125">
        <f t="shared" si="0"/>
        <v>0.26899999999999996</v>
      </c>
      <c r="AN15" s="125">
        <f t="shared" si="0"/>
        <v>0.24599999999999997</v>
      </c>
      <c r="AO15" s="125">
        <f t="shared" si="0"/>
        <v>0.29825439470038262</v>
      </c>
      <c r="AP15" s="125">
        <f t="shared" si="0"/>
        <v>0.26487983945906296</v>
      </c>
      <c r="AQ15" s="125">
        <f t="shared" si="0"/>
        <v>0.16999999999999998</v>
      </c>
      <c r="AR15" s="125">
        <f t="shared" si="0"/>
        <v>0.24099999999999999</v>
      </c>
      <c r="AS15" s="125">
        <f t="shared" si="0"/>
        <v>0.11699999999999999</v>
      </c>
      <c r="AT15" s="125">
        <f t="shared" ref="AT15:AZ15" si="1">IFERROR(AT7+AT9+AT11+AT13,"n.a.")</f>
        <v>3.6636793399103709E-2</v>
      </c>
      <c r="AU15" s="125">
        <f t="shared" si="1"/>
        <v>7.5220000000000009E-2</v>
      </c>
      <c r="AV15" s="125">
        <f t="shared" si="1"/>
        <v>-6.186086110336815E-2</v>
      </c>
      <c r="AW15" s="125">
        <f t="shared" si="1"/>
        <v>2.5212213638402398E-2</v>
      </c>
      <c r="AX15" s="125">
        <f t="shared" si="1"/>
        <v>-5.845227834756192E-2</v>
      </c>
      <c r="AY15" s="125">
        <f t="shared" si="1"/>
        <v>5.2007344073300155E-3</v>
      </c>
      <c r="AZ15" s="125">
        <f t="shared" si="1"/>
        <v>-2.0000000000000018E-3</v>
      </c>
      <c r="BA15" s="125">
        <f t="shared" ref="BA15:BD15" si="2">IFERROR(BA7+BA9+BA11+BA13,"n.a.")</f>
        <v>8.0000000000000002E-3</v>
      </c>
      <c r="BB15" s="125">
        <f t="shared" si="2"/>
        <v>3.0000000000000027E-3</v>
      </c>
      <c r="BC15" s="125">
        <f t="shared" si="2"/>
        <v>7.9518217844940023E-3</v>
      </c>
      <c r="BD15" s="125">
        <f t="shared" si="2"/>
        <v>4.7098679955290407E-3</v>
      </c>
      <c r="BE15" s="125">
        <f t="shared" ref="BE15" si="3">IFERROR(BE7+BE9+BE11+BE13,"n.a.")</f>
        <v>6.6374898366962309E-2</v>
      </c>
      <c r="BF15" s="125">
        <f>IFERROR(BF7+BF9+BF11+BF13,"n.a.")</f>
        <v>1.8724502280710976E-2</v>
      </c>
      <c r="BG15" s="125">
        <f t="shared" ref="BG15:BI15" si="4">IFERROR(BG7+BG9+BG11+BG13,"n.a.")</f>
        <v>3.7226625390813867E-2</v>
      </c>
      <c r="BH15" s="125">
        <f t="shared" si="4"/>
        <v>-6.9999999999999993E-3</v>
      </c>
      <c r="BI15" s="125">
        <f t="shared" si="4"/>
        <v>1.4999999999999996E-2</v>
      </c>
      <c r="BJ15" s="125">
        <f t="shared" ref="BJ15:BL15" si="5">IFERROR(BJ7+BJ9+BJ11+BJ13,"n.a.")</f>
        <v>-2.3262338959974743E-2</v>
      </c>
      <c r="BK15" s="125">
        <f t="shared" si="5"/>
        <v>2.045529277995276E-3</v>
      </c>
      <c r="BL15" s="125">
        <f t="shared" si="5"/>
        <v>-4.924976914450702E-3</v>
      </c>
      <c r="BM15" s="125">
        <f>+'Adj. Rev. detail - FY'!K15</f>
        <v>4.1512009050732098E-4</v>
      </c>
    </row>
    <row r="18" spans="1:63" ht="25.5" customHeight="1">
      <c r="A18" s="227" t="s">
        <v>194</v>
      </c>
      <c r="B18" s="227"/>
      <c r="C18" s="227"/>
      <c r="D18" s="227"/>
      <c r="E18" s="227"/>
      <c r="F18" s="227"/>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7"/>
      <c r="AE18" s="227"/>
      <c r="AF18" s="227"/>
      <c r="AG18" s="227"/>
      <c r="AH18" s="227"/>
      <c r="AI18" s="227"/>
      <c r="AJ18" s="227"/>
      <c r="AK18" s="227"/>
      <c r="AL18" s="227"/>
      <c r="AM18" s="227"/>
      <c r="AN18" s="227"/>
      <c r="AO18" s="227"/>
      <c r="AP18" s="227"/>
      <c r="AQ18" s="227"/>
      <c r="AR18" s="227"/>
      <c r="AS18" s="227"/>
      <c r="AT18" s="227"/>
      <c r="AU18" s="227"/>
      <c r="AV18" s="227"/>
      <c r="AW18" s="227"/>
      <c r="AX18" s="227"/>
      <c r="AY18" s="227"/>
      <c r="AZ18" s="227"/>
      <c r="BA18" s="227"/>
      <c r="BB18" s="227"/>
      <c r="BC18" s="227"/>
      <c r="BD18" s="227"/>
      <c r="BE18" s="227"/>
      <c r="BF18" s="227"/>
      <c r="BG18" s="227"/>
      <c r="BH18" s="227"/>
      <c r="BI18" s="227"/>
      <c r="BJ18" s="227"/>
      <c r="BK18" s="227"/>
    </row>
  </sheetData>
  <mergeCells count="1">
    <mergeCell ref="A18:BK18"/>
  </mergeCells>
  <pageMargins left="0" right="0" top="0" bottom="0" header="0" footer="0"/>
  <pageSetup paperSize="9" scale="8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K25"/>
  <sheetViews>
    <sheetView showGridLines="0" zoomScaleNormal="100" zoomScaleSheetLayoutView="100" workbookViewId="0">
      <pane xSplit="2" ySplit="6" topLeftCell="F7" activePane="bottomRight" state="frozen"/>
      <selection activeCell="AQ123" sqref="AQ123"/>
      <selection pane="topRight" activeCell="AQ123" sqref="AQ123"/>
      <selection pane="bottomLeft" activeCell="AQ123" sqref="AQ123"/>
      <selection pane="bottomRight"/>
    </sheetView>
  </sheetViews>
  <sheetFormatPr defaultColWidth="9" defaultRowHeight="12.5" outlineLevelRow="1" outlineLevelCol="1"/>
  <cols>
    <col min="1" max="1" width="40.58203125" style="2" customWidth="1"/>
    <col min="2" max="2" width="2.58203125" style="2" customWidth="1"/>
    <col min="3" max="3" width="11.58203125" style="2" hidden="1" customWidth="1" outlineLevel="1"/>
    <col min="4" max="4" width="11.58203125" style="2" hidden="1" customWidth="1" outlineLevel="1" collapsed="1"/>
    <col min="5" max="5" width="11.58203125" style="2" hidden="1" customWidth="1" outlineLevel="1"/>
    <col min="6" max="6" width="11.58203125" style="2" customWidth="1" collapsed="1"/>
    <col min="7" max="11" width="11.58203125" style="2" customWidth="1"/>
    <col min="12" max="16384" width="9" style="2"/>
  </cols>
  <sheetData>
    <row r="1" spans="1:11" s="7" customFormat="1" ht="27.75" customHeight="1">
      <c r="A1" s="7" t="s">
        <v>148</v>
      </c>
      <c r="B1" s="8"/>
      <c r="C1" s="8"/>
      <c r="D1" s="8"/>
      <c r="E1" s="8"/>
      <c r="F1" s="8"/>
      <c r="G1" s="8"/>
      <c r="H1" s="8"/>
      <c r="I1" s="8"/>
      <c r="J1" s="8"/>
      <c r="K1" s="8"/>
    </row>
    <row r="2" spans="1:11">
      <c r="A2" s="158" t="s">
        <v>146</v>
      </c>
    </row>
    <row r="4" spans="1:11" ht="13.5" thickBot="1">
      <c r="A4" s="9" t="s">
        <v>34</v>
      </c>
      <c r="B4" s="10"/>
      <c r="C4" s="10" t="s">
        <v>130</v>
      </c>
      <c r="D4" s="10" t="s">
        <v>192</v>
      </c>
      <c r="E4" s="10" t="s">
        <v>222</v>
      </c>
      <c r="F4" s="10" t="s">
        <v>244</v>
      </c>
      <c r="G4" s="10" t="s">
        <v>286</v>
      </c>
      <c r="H4" s="10" t="s">
        <v>297</v>
      </c>
      <c r="I4" s="10" t="s">
        <v>305</v>
      </c>
      <c r="J4" s="10" t="s">
        <v>316</v>
      </c>
      <c r="K4" s="10" t="s">
        <v>351</v>
      </c>
    </row>
    <row r="5" spans="1:11">
      <c r="C5" s="20" t="s">
        <v>138</v>
      </c>
      <c r="D5" s="20" t="s">
        <v>138</v>
      </c>
      <c r="E5" s="20" t="s">
        <v>138</v>
      </c>
      <c r="F5" s="20" t="s">
        <v>138</v>
      </c>
      <c r="G5" s="20" t="s">
        <v>138</v>
      </c>
      <c r="H5" s="20" t="s">
        <v>138</v>
      </c>
      <c r="I5" s="20" t="s">
        <v>138</v>
      </c>
      <c r="J5" s="20" t="s">
        <v>138</v>
      </c>
      <c r="K5" s="20" t="s">
        <v>138</v>
      </c>
    </row>
    <row r="7" spans="1:11" ht="13">
      <c r="A7" s="62" t="s">
        <v>292</v>
      </c>
      <c r="B7" s="63"/>
      <c r="C7" s="135">
        <v>844.3</v>
      </c>
      <c r="D7" s="135">
        <f>ROUND('Fin. Highlights - FY'!C21,1)</f>
        <v>876.4</v>
      </c>
      <c r="E7" s="135">
        <f>ROUND('Fin. Highlights - FY'!D21,1)</f>
        <v>955</v>
      </c>
      <c r="F7" s="135">
        <f>ROUND('Fin. Highlights - FY'!E21,1)</f>
        <v>917.3</v>
      </c>
      <c r="G7" s="135">
        <f>ROUND('Fin. Highlights - FY'!F21,1)</f>
        <v>501.2</v>
      </c>
      <c r="H7" s="135">
        <f>ROUND('Fin. Highlights - FY'!G21,1)</f>
        <v>815.8</v>
      </c>
      <c r="I7" s="135">
        <f>ROUND('Fin. Highlights - FY'!H21,1)</f>
        <v>977.8</v>
      </c>
      <c r="J7" s="135">
        <f>ROUND('Fin. Highlights - FY'!I21,1)</f>
        <v>1001.8</v>
      </c>
      <c r="K7" s="135">
        <f>ROUND('Fin. Highlights - FY'!J21,1)</f>
        <v>1060.5</v>
      </c>
    </row>
    <row r="8" spans="1:11">
      <c r="C8" s="22"/>
      <c r="D8" s="22"/>
      <c r="E8" s="22"/>
      <c r="F8" s="22"/>
      <c r="G8" s="22"/>
      <c r="H8" s="22"/>
      <c r="I8" s="22"/>
      <c r="J8" s="22"/>
      <c r="K8" s="22"/>
    </row>
    <row r="9" spans="1:11">
      <c r="A9" s="19" t="s">
        <v>20</v>
      </c>
      <c r="B9" s="11"/>
      <c r="C9" s="23">
        <v>23.2</v>
      </c>
      <c r="D9" s="23">
        <v>-68.3</v>
      </c>
      <c r="E9" s="23">
        <v>-44.8</v>
      </c>
      <c r="F9" s="23">
        <v>-350.58</v>
      </c>
      <c r="G9" s="23">
        <v>266.60000000000002</v>
      </c>
      <c r="H9" s="23">
        <v>-21.8</v>
      </c>
      <c r="I9" s="23">
        <v>-51.406609829816709</v>
      </c>
      <c r="J9" s="23">
        <v>48.699999999999996</v>
      </c>
      <c r="K9" s="23">
        <f>+'[3]Ebit Bridge vs Actual'!$K$36</f>
        <v>11.061714408725249</v>
      </c>
    </row>
    <row r="10" spans="1:11">
      <c r="C10" s="126"/>
      <c r="D10" s="126"/>
      <c r="E10" s="126"/>
      <c r="F10" s="126"/>
      <c r="G10" s="126"/>
      <c r="H10" s="126"/>
      <c r="I10" s="126"/>
      <c r="J10" s="126"/>
      <c r="K10" s="126"/>
    </row>
    <row r="11" spans="1:11">
      <c r="A11" s="19" t="s">
        <v>21</v>
      </c>
      <c r="B11" s="11"/>
      <c r="C11" s="23">
        <v>277.5</v>
      </c>
      <c r="D11" s="23">
        <v>238.7</v>
      </c>
      <c r="E11" s="23">
        <v>122.9</v>
      </c>
      <c r="F11" s="23">
        <v>19.53</v>
      </c>
      <c r="G11" s="23">
        <v>282.7</v>
      </c>
      <c r="H11" s="23">
        <v>890.7</v>
      </c>
      <c r="I11" s="23">
        <v>486.21145262248729</v>
      </c>
      <c r="J11" s="23">
        <v>109.97134241828357</v>
      </c>
      <c r="K11" s="23">
        <f>+'[3]Ebit Bridge vs Actual'!$K$38</f>
        <v>172.66467212806364</v>
      </c>
    </row>
    <row r="12" spans="1:11">
      <c r="C12" s="126"/>
      <c r="D12" s="126"/>
      <c r="E12" s="126"/>
      <c r="F12" s="126"/>
      <c r="G12" s="126"/>
      <c r="H12" s="126"/>
      <c r="I12" s="126"/>
      <c r="J12" s="126"/>
      <c r="K12" s="126"/>
    </row>
    <row r="13" spans="1:11">
      <c r="A13" s="19" t="s">
        <v>30</v>
      </c>
      <c r="B13" s="11"/>
      <c r="C13" s="23">
        <v>46.6</v>
      </c>
      <c r="D13" s="23">
        <v>70.099999999999994</v>
      </c>
      <c r="E13" s="23">
        <v>70</v>
      </c>
      <c r="F13" s="23">
        <v>159.6</v>
      </c>
      <c r="G13" s="23">
        <v>154.6</v>
      </c>
      <c r="H13" s="23">
        <v>135.99999999999994</v>
      </c>
      <c r="I13" s="23">
        <v>91.998824915923478</v>
      </c>
      <c r="J13" s="23">
        <v>143.24</v>
      </c>
      <c r="K13" s="23">
        <f>+'[3]Ebit Bridge vs Actual'!$K$56+'[3]Ebit Bridge vs Actual'!$K$58</f>
        <v>158</v>
      </c>
    </row>
    <row r="14" spans="1:11">
      <c r="C14" s="22"/>
      <c r="D14" s="22"/>
      <c r="E14" s="22"/>
      <c r="F14" s="22"/>
      <c r="G14" s="22"/>
      <c r="H14" s="22"/>
      <c r="I14" s="22"/>
      <c r="J14" s="22"/>
      <c r="K14" s="22"/>
    </row>
    <row r="15" spans="1:11" hidden="1" outlineLevel="1">
      <c r="A15" s="19" t="s">
        <v>25</v>
      </c>
      <c r="B15" s="11"/>
      <c r="C15" s="33">
        <v>-50.2</v>
      </c>
      <c r="D15" s="33">
        <f>IFERROR('Fin. Highlights - FY'!D19-'Fin. Highlights - FY'!C19,"n.a.")</f>
        <v>2.5</v>
      </c>
      <c r="E15" s="33">
        <f>IFERROR('Fin. Highlights - FY'!E19-'Fin. Highlights - FY'!D19,"n.a.")</f>
        <v>6.4000000000000057</v>
      </c>
      <c r="F15" s="33"/>
      <c r="G15" s="33"/>
      <c r="H15" s="33"/>
      <c r="I15" s="33"/>
      <c r="J15" s="33"/>
      <c r="K15" s="33"/>
    </row>
    <row r="16" spans="1:11" hidden="1" outlineLevel="1">
      <c r="C16" s="126"/>
      <c r="D16" s="126"/>
      <c r="E16" s="126"/>
      <c r="F16" s="126"/>
      <c r="G16" s="126"/>
      <c r="H16" s="126"/>
      <c r="I16" s="126"/>
      <c r="J16" s="126"/>
      <c r="K16" s="126"/>
    </row>
    <row r="17" spans="1:11" collapsed="1">
      <c r="A17" s="19" t="s">
        <v>33</v>
      </c>
      <c r="B17" s="11"/>
      <c r="C17" s="23">
        <v>-39.899999999999991</v>
      </c>
      <c r="D17" s="23">
        <v>-20.7</v>
      </c>
      <c r="E17" s="23">
        <v>-50.7</v>
      </c>
      <c r="F17" s="23">
        <v>-114.5</v>
      </c>
      <c r="G17" s="23">
        <v>-80.900000000000006</v>
      </c>
      <c r="H17" s="23">
        <v>-54.7</v>
      </c>
      <c r="I17" s="23">
        <v>-63.44190942423711</v>
      </c>
      <c r="J17" s="23">
        <v>-52.441342402800842</v>
      </c>
      <c r="K17" s="23">
        <f>+'[3]Ebit Bridge vs Actual'!$K$52+'[3]Ebit Bridge vs Actual'!$K$60+'[3]Ebit Bridge vs Actual'!$K$68</f>
        <v>-59.2115841398778</v>
      </c>
    </row>
    <row r="18" spans="1:11">
      <c r="C18" s="126"/>
      <c r="D18" s="126"/>
      <c r="E18" s="126"/>
      <c r="F18" s="126"/>
      <c r="G18" s="126"/>
      <c r="H18" s="126"/>
      <c r="I18" s="126"/>
      <c r="J18" s="126"/>
      <c r="K18" s="126"/>
    </row>
    <row r="19" spans="1:11">
      <c r="A19" s="19" t="s">
        <v>29</v>
      </c>
      <c r="B19" s="11"/>
      <c r="C19" s="23">
        <v>-164.8</v>
      </c>
      <c r="D19" s="23">
        <v>-52</v>
      </c>
      <c r="E19" s="23">
        <v>-66.7</v>
      </c>
      <c r="F19" s="23">
        <v>-20</v>
      </c>
      <c r="G19" s="23">
        <v>-211.9</v>
      </c>
      <c r="H19" s="23">
        <v>-491.46029357402608</v>
      </c>
      <c r="I19" s="23">
        <v>-15.810000000000016</v>
      </c>
      <c r="J19" s="23">
        <v>-23.7</v>
      </c>
      <c r="K19" s="23">
        <f>+'[3]Ebit Bridge vs Actual'!$K$46</f>
        <v>-55.856048582611152</v>
      </c>
    </row>
    <row r="20" spans="1:11">
      <c r="C20" s="126"/>
      <c r="D20" s="126"/>
      <c r="E20" s="126"/>
      <c r="F20" s="126"/>
      <c r="G20" s="126"/>
      <c r="H20" s="126"/>
      <c r="I20" s="126"/>
      <c r="J20" s="126"/>
      <c r="K20" s="126"/>
    </row>
    <row r="21" spans="1:11">
      <c r="A21" s="19" t="s">
        <v>31</v>
      </c>
      <c r="B21" s="11"/>
      <c r="C21" s="23">
        <v>-53.6</v>
      </c>
      <c r="D21" s="23">
        <v>-48.3</v>
      </c>
      <c r="E21" s="23">
        <v>-76.599999999999994</v>
      </c>
      <c r="F21" s="23">
        <v>-50</v>
      </c>
      <c r="G21" s="23">
        <v>-85</v>
      </c>
      <c r="H21" s="23">
        <v>-327.44</v>
      </c>
      <c r="I21" s="23">
        <v>-230.02825565651489</v>
      </c>
      <c r="J21" s="23">
        <v>-142.49</v>
      </c>
      <c r="K21" s="23">
        <f>+'[3]Ebit Bridge vs Actual'!$K$57</f>
        <v>-120.5</v>
      </c>
    </row>
    <row r="22" spans="1:11">
      <c r="C22" s="126"/>
      <c r="D22" s="126"/>
      <c r="E22" s="126"/>
      <c r="F22" s="126"/>
      <c r="G22" s="126"/>
      <c r="H22" s="126"/>
      <c r="I22" s="126"/>
      <c r="J22" s="126"/>
      <c r="K22" s="126"/>
    </row>
    <row r="23" spans="1:11">
      <c r="A23" s="19" t="s">
        <v>32</v>
      </c>
      <c r="B23" s="11"/>
      <c r="C23" s="23">
        <v>-6.7</v>
      </c>
      <c r="D23" s="23">
        <v>-43.378778255913289</v>
      </c>
      <c r="E23" s="23">
        <v>1.8</v>
      </c>
      <c r="F23" s="23">
        <v>-60.1</v>
      </c>
      <c r="G23" s="23">
        <v>-11.5</v>
      </c>
      <c r="H23" s="23">
        <v>30.7</v>
      </c>
      <c r="I23" s="23">
        <v>-193.52350262784205</v>
      </c>
      <c r="J23" s="23">
        <v>-24.600000015482681</v>
      </c>
      <c r="K23" s="23">
        <f>+'[3]Ebit Bridge vs Actual'!$K$42</f>
        <v>-85.262696638354313</v>
      </c>
    </row>
    <row r="24" spans="1:11">
      <c r="C24" s="22"/>
      <c r="D24" s="22"/>
      <c r="E24" s="22"/>
      <c r="F24" s="22"/>
      <c r="G24" s="22"/>
      <c r="H24" s="22"/>
      <c r="I24" s="22"/>
      <c r="J24" s="22"/>
      <c r="K24" s="22"/>
    </row>
    <row r="25" spans="1:11" ht="13">
      <c r="A25" s="18" t="s">
        <v>291</v>
      </c>
      <c r="B25" s="18"/>
      <c r="C25" s="29">
        <f t="shared" ref="C25:E25" si="0">IFERROR(C7+C9+C11+C13+C15+C17+C19+C21+C23,"n.a.")</f>
        <v>876.39999999999975</v>
      </c>
      <c r="D25" s="29">
        <f t="shared" si="0"/>
        <v>955.02122174408657</v>
      </c>
      <c r="E25" s="29">
        <f t="shared" si="0"/>
        <v>917.30000000000007</v>
      </c>
      <c r="F25" s="29">
        <f>IFERROR(F7+F9+F11+F13+F15+F17+F19+F21+F23-0.1,"n.a.")</f>
        <v>501.15</v>
      </c>
      <c r="G25" s="29">
        <f>IFERROR(G7+G9+G11+G13+G15+G17+G19+G21+G23,"n.a.")</f>
        <v>815.79999999999984</v>
      </c>
      <c r="H25" s="29">
        <f>IFERROR(H7+H9+H11+H13+H15+H17+H19+H21+H23,"n.a.")</f>
        <v>977.79970642597391</v>
      </c>
      <c r="I25" s="29">
        <f>IFERROR(I7+I9+I11+I13+I15+I17+I19+I21+I23,"n.a.")</f>
        <v>1001.8000000000001</v>
      </c>
      <c r="J25" s="29">
        <f>IFERROR(J7+J9+J11+J13+J15+J17+J19+J21+J23,"n.a.")</f>
        <v>1060.48</v>
      </c>
      <c r="K25" s="29">
        <f>IFERROR(K7+K9+K11+K13+K15+K17+K19+K21+K23,"n.a.")</f>
        <v>1081.3960571759455</v>
      </c>
    </row>
  </sheetData>
  <pageMargins left="0" right="0" top="0" bottom="0" header="0" footer="0"/>
  <pageSetup paperSize="9" orientation="landscape" r:id="rId1"/>
  <ignoredErrors>
    <ignoredError sqref="F25" formula="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2"/>
    <pageSetUpPr fitToPage="1"/>
  </sheetPr>
  <dimension ref="A1:BO141"/>
  <sheetViews>
    <sheetView showGridLines="0" zoomScaleNormal="100" zoomScaleSheetLayoutView="100" workbookViewId="0">
      <pane xSplit="2" ySplit="6" topLeftCell="BG7" activePane="bottomRight" state="frozen"/>
      <selection activeCell="AQ123" sqref="AQ123"/>
      <selection pane="topRight" activeCell="AQ123" sqref="AQ123"/>
      <selection pane="bottomLeft" activeCell="AQ123" sqref="AQ123"/>
      <selection pane="bottomRight"/>
    </sheetView>
  </sheetViews>
  <sheetFormatPr defaultColWidth="9" defaultRowHeight="14" outlineLevelRow="1" outlineLevelCol="2"/>
  <cols>
    <col min="1" max="1" width="40.58203125" style="2" customWidth="1"/>
    <col min="2" max="2" width="2.58203125" style="2" customWidth="1"/>
    <col min="3" max="22" width="9.58203125" style="2" hidden="1" customWidth="1" outlineLevel="2"/>
    <col min="23" max="25" width="9.58203125" style="2" hidden="1" customWidth="1" outlineLevel="1"/>
    <col min="26" max="26" width="9.58203125" style="2" hidden="1" customWidth="1" outlineLevel="2"/>
    <col min="27" max="27" width="9.58203125" style="2" hidden="1" customWidth="1" outlineLevel="1"/>
    <col min="28" max="28" width="9.58203125" style="2" hidden="1" customWidth="1" outlineLevel="2"/>
    <col min="29" max="29" width="9.58203125" style="2" hidden="1" customWidth="1" outlineLevel="1"/>
    <col min="30" max="30" width="9.58203125" style="2" hidden="1" customWidth="1" outlineLevel="2"/>
    <col min="31" max="32" width="9.58203125" style="2" hidden="1" customWidth="1" outlineLevel="1"/>
    <col min="33" max="33" width="9.58203125" style="2" hidden="1" customWidth="1" outlineLevel="2"/>
    <col min="34" max="34" width="9.58203125" style="2" hidden="1" customWidth="1" outlineLevel="1"/>
    <col min="35" max="35" width="9.58203125" style="2" hidden="1" customWidth="1" outlineLevel="2"/>
    <col min="36" max="36" width="9.58203125" style="2" hidden="1" customWidth="1" outlineLevel="1"/>
    <col min="37" max="37" width="9.58203125" style="2" hidden="1" customWidth="1" outlineLevel="2"/>
    <col min="38" max="38" width="9.58203125" style="2" hidden="1" customWidth="1" outlineLevel="1"/>
    <col min="39" max="39" width="9.58203125" style="2" hidden="1" customWidth="1" outlineLevel="1" collapsed="1"/>
    <col min="40" max="40" width="9.58203125" style="2" hidden="1" customWidth="1" outlineLevel="2"/>
    <col min="41" max="41" width="9.58203125" style="2" hidden="1" customWidth="1" outlineLevel="1"/>
    <col min="42" max="42" width="9.58203125" style="2" hidden="1" customWidth="1" outlineLevel="2"/>
    <col min="43" max="43" width="9.58203125" style="2" hidden="1" customWidth="1" outlineLevel="1"/>
    <col min="44" max="44" width="9.58203125" style="2" hidden="1" customWidth="1" outlineLevel="2"/>
    <col min="45" max="45" width="9.58203125" style="2" hidden="1" customWidth="1" outlineLevel="1"/>
    <col min="46" max="46" width="9.58203125" style="2" hidden="1" customWidth="1" outlineLevel="1" collapsed="1"/>
    <col min="47" max="47" width="9.58203125" style="2" hidden="1" customWidth="1" outlineLevel="2"/>
    <col min="48" max="48" width="9.58203125" style="2" hidden="1" customWidth="1" outlineLevel="1"/>
    <col min="49" max="49" width="9.58203125" style="2" hidden="1" customWidth="1" outlineLevel="2"/>
    <col min="50" max="50" width="9.58203125" style="2" hidden="1" customWidth="1" outlineLevel="1"/>
    <col min="51" max="51" width="9.58203125" style="2" hidden="1" customWidth="1" outlineLevel="2"/>
    <col min="52" max="52" width="9.58203125" style="2" hidden="1" customWidth="1" outlineLevel="1"/>
    <col min="53" max="53" width="9.58203125" style="2" hidden="1" customWidth="1" outlineLevel="1" collapsed="1"/>
    <col min="54" max="54" width="9.58203125" style="2" hidden="1" customWidth="1" outlineLevel="2"/>
    <col min="55" max="55" width="9" style="2" hidden="1" customWidth="1" outlineLevel="1"/>
    <col min="56" max="56" width="9" style="2" hidden="1" customWidth="1" outlineLevel="2"/>
    <col min="57" max="57" width="9" style="2" hidden="1" customWidth="1" outlineLevel="1"/>
    <col min="58" max="58" width="9" style="2" hidden="1" customWidth="1" outlineLevel="2"/>
    <col min="59" max="60" width="9.58203125" style="2" customWidth="1" collapsed="1"/>
    <col min="61" max="61" width="9.58203125" style="2" hidden="1" customWidth="1" outlineLevel="1"/>
    <col min="62" max="62" width="9.58203125" style="2" customWidth="1" collapsed="1"/>
    <col min="63" max="63" width="9.58203125" style="2" customWidth="1"/>
    <col min="64" max="64" width="9.58203125" style="2" customWidth="1" collapsed="1"/>
    <col min="65" max="65" width="9.58203125" style="2" customWidth="1"/>
    <col min="66" max="66" width="3.08203125" customWidth="1"/>
    <col min="67" max="67" width="116.58203125" style="2" bestFit="1" customWidth="1"/>
    <col min="68" max="16384" width="9" style="2"/>
  </cols>
  <sheetData>
    <row r="1" spans="1:67" s="7" customFormat="1" ht="27.75" customHeight="1">
      <c r="A1" s="7" t="s">
        <v>150</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O1" s="8"/>
      <c r="AP1" s="8"/>
      <c r="AQ1" s="8"/>
      <c r="AR1" s="8"/>
      <c r="AS1" s="8"/>
      <c r="AZ1" s="8"/>
      <c r="BG1" s="8"/>
    </row>
    <row r="2" spans="1:67">
      <c r="A2" s="158" t="s">
        <v>146</v>
      </c>
    </row>
    <row r="4" spans="1:67" ht="14.5" thickBot="1">
      <c r="A4" s="9" t="s">
        <v>34</v>
      </c>
      <c r="B4" s="10"/>
      <c r="C4" s="10" t="s">
        <v>134</v>
      </c>
      <c r="D4" s="10" t="s">
        <v>133</v>
      </c>
      <c r="E4" s="10" t="s">
        <v>132</v>
      </c>
      <c r="F4" s="10" t="s">
        <v>131</v>
      </c>
      <c r="G4" s="10" t="s">
        <v>97</v>
      </c>
      <c r="H4" s="10" t="s">
        <v>135</v>
      </c>
      <c r="I4" s="10" t="s">
        <v>130</v>
      </c>
      <c r="J4" s="10" t="s">
        <v>170</v>
      </c>
      <c r="K4" s="10" t="s">
        <v>178</v>
      </c>
      <c r="L4" s="10" t="s">
        <v>179</v>
      </c>
      <c r="M4" s="10" t="s">
        <v>191</v>
      </c>
      <c r="N4" s="10" t="s">
        <v>190</v>
      </c>
      <c r="O4" s="10" t="s">
        <v>193</v>
      </c>
      <c r="P4" s="10" t="s">
        <v>192</v>
      </c>
      <c r="Q4" s="10" t="s">
        <v>198</v>
      </c>
      <c r="R4" s="10" t="s">
        <v>215</v>
      </c>
      <c r="S4" s="10" t="s">
        <v>216</v>
      </c>
      <c r="T4" s="10" t="s">
        <v>220</v>
      </c>
      <c r="U4" s="10" t="s">
        <v>221</v>
      </c>
      <c r="V4" s="10" t="s">
        <v>223</v>
      </c>
      <c r="W4" s="10" t="s">
        <v>222</v>
      </c>
      <c r="X4" s="10" t="s">
        <v>235</v>
      </c>
      <c r="Y4" s="10" t="s">
        <v>239</v>
      </c>
      <c r="Z4" s="10" t="s">
        <v>240</v>
      </c>
      <c r="AA4" s="10" t="s">
        <v>242</v>
      </c>
      <c r="AB4" s="10" t="s">
        <v>243</v>
      </c>
      <c r="AC4" s="10" t="s">
        <v>245</v>
      </c>
      <c r="AD4" s="10" t="s">
        <v>244</v>
      </c>
      <c r="AE4" s="10" t="s">
        <v>271</v>
      </c>
      <c r="AF4" s="10" t="s">
        <v>276</v>
      </c>
      <c r="AG4" s="10" t="s">
        <v>277</v>
      </c>
      <c r="AH4" s="10" t="s">
        <v>280</v>
      </c>
      <c r="AI4" s="10" t="s">
        <v>281</v>
      </c>
      <c r="AJ4" s="10" t="s">
        <v>282</v>
      </c>
      <c r="AK4" s="10" t="s">
        <v>286</v>
      </c>
      <c r="AL4" s="10" t="s">
        <v>287</v>
      </c>
      <c r="AM4" s="10" t="s">
        <v>293</v>
      </c>
      <c r="AN4" s="10" t="s">
        <v>294</v>
      </c>
      <c r="AO4" s="10" t="s">
        <v>295</v>
      </c>
      <c r="AP4" s="10" t="s">
        <v>296</v>
      </c>
      <c r="AQ4" s="10" t="s">
        <v>298</v>
      </c>
      <c r="AR4" s="10" t="s">
        <v>297</v>
      </c>
      <c r="AS4" s="10" t="s">
        <v>299</v>
      </c>
      <c r="AT4" s="10" t="s">
        <v>300</v>
      </c>
      <c r="AU4" s="10" t="s">
        <v>301</v>
      </c>
      <c r="AV4" s="10" t="s">
        <v>302</v>
      </c>
      <c r="AW4" s="10" t="s">
        <v>303</v>
      </c>
      <c r="AX4" s="10" t="s">
        <v>306</v>
      </c>
      <c r="AY4" s="10" t="s">
        <v>305</v>
      </c>
      <c r="AZ4" s="10" t="s">
        <v>308</v>
      </c>
      <c r="BA4" s="10" t="s">
        <v>310</v>
      </c>
      <c r="BB4" s="10" t="s">
        <v>311</v>
      </c>
      <c r="BC4" s="10" t="s">
        <v>312</v>
      </c>
      <c r="BD4" s="10" t="s">
        <v>313</v>
      </c>
      <c r="BE4" s="10" t="s">
        <v>317</v>
      </c>
      <c r="BF4" s="10" t="s">
        <v>316</v>
      </c>
      <c r="BG4" s="189" t="s">
        <v>324</v>
      </c>
      <c r="BH4" s="10" t="s">
        <v>344</v>
      </c>
      <c r="BI4" s="10" t="s">
        <v>345</v>
      </c>
      <c r="BJ4" s="10" t="s">
        <v>347</v>
      </c>
      <c r="BK4" s="10" t="s">
        <v>348</v>
      </c>
      <c r="BL4" s="10" t="s">
        <v>352</v>
      </c>
      <c r="BM4" s="10" t="s">
        <v>351</v>
      </c>
      <c r="BO4" s="176" t="s">
        <v>320</v>
      </c>
    </row>
    <row r="5" spans="1:67">
      <c r="C5" s="20" t="s">
        <v>138</v>
      </c>
      <c r="D5" s="20" t="s">
        <v>138</v>
      </c>
      <c r="E5" s="20" t="s">
        <v>139</v>
      </c>
      <c r="F5" s="20" t="s">
        <v>138</v>
      </c>
      <c r="G5" s="20" t="s">
        <v>138</v>
      </c>
      <c r="H5" s="20" t="s">
        <v>138</v>
      </c>
      <c r="I5" s="20" t="s">
        <v>138</v>
      </c>
      <c r="J5" s="20" t="s">
        <v>138</v>
      </c>
      <c r="K5" s="20" t="s">
        <v>138</v>
      </c>
      <c r="L5" s="20" t="s">
        <v>138</v>
      </c>
      <c r="M5" s="20" t="s">
        <v>138</v>
      </c>
      <c r="N5" s="20" t="s">
        <v>138</v>
      </c>
      <c r="O5" s="20" t="s">
        <v>138</v>
      </c>
      <c r="P5" s="20" t="s">
        <v>138</v>
      </c>
      <c r="Q5" s="20" t="s">
        <v>138</v>
      </c>
      <c r="R5" s="20" t="s">
        <v>138</v>
      </c>
      <c r="S5" s="20" t="s">
        <v>138</v>
      </c>
      <c r="T5" s="20" t="s">
        <v>138</v>
      </c>
      <c r="U5" s="20" t="s">
        <v>138</v>
      </c>
      <c r="V5" s="20" t="s">
        <v>138</v>
      </c>
      <c r="W5" s="20" t="s">
        <v>138</v>
      </c>
      <c r="X5" s="20" t="s">
        <v>138</v>
      </c>
      <c r="Y5" s="20" t="s">
        <v>138</v>
      </c>
      <c r="Z5" s="20" t="s">
        <v>138</v>
      </c>
      <c r="AA5" s="20" t="s">
        <v>138</v>
      </c>
      <c r="AB5" s="20" t="s">
        <v>138</v>
      </c>
      <c r="AC5" s="20" t="s">
        <v>138</v>
      </c>
      <c r="AD5" s="20" t="s">
        <v>138</v>
      </c>
      <c r="AE5" s="20" t="s">
        <v>138</v>
      </c>
      <c r="AF5" s="20" t="s">
        <v>138</v>
      </c>
      <c r="AG5" s="20" t="s">
        <v>138</v>
      </c>
      <c r="AH5" s="20" t="s">
        <v>138</v>
      </c>
      <c r="AI5" s="20" t="s">
        <v>138</v>
      </c>
      <c r="AJ5" s="20" t="s">
        <v>138</v>
      </c>
      <c r="AK5" s="20" t="s">
        <v>138</v>
      </c>
      <c r="AL5" s="20" t="s">
        <v>138</v>
      </c>
      <c r="AM5" s="20" t="s">
        <v>138</v>
      </c>
      <c r="AN5" s="20" t="s">
        <v>138</v>
      </c>
      <c r="AO5" s="20" t="s">
        <v>138</v>
      </c>
      <c r="AP5" s="20" t="s">
        <v>138</v>
      </c>
      <c r="AQ5" s="20" t="s">
        <v>138</v>
      </c>
      <c r="AR5" s="20" t="s">
        <v>138</v>
      </c>
      <c r="AS5" s="20" t="s">
        <v>138</v>
      </c>
      <c r="AT5" s="20" t="s">
        <v>138</v>
      </c>
      <c r="AU5" s="20" t="s">
        <v>138</v>
      </c>
      <c r="AV5" s="20" t="s">
        <v>138</v>
      </c>
      <c r="AW5" s="20" t="s">
        <v>138</v>
      </c>
      <c r="AX5" s="20" t="s">
        <v>138</v>
      </c>
      <c r="AY5" s="20" t="s">
        <v>138</v>
      </c>
      <c r="AZ5" s="20" t="s">
        <v>138</v>
      </c>
      <c r="BA5" s="20" t="s">
        <v>138</v>
      </c>
      <c r="BB5" s="20" t="s">
        <v>138</v>
      </c>
      <c r="BC5" s="20" t="s">
        <v>138</v>
      </c>
      <c r="BD5" s="20" t="s">
        <v>138</v>
      </c>
      <c r="BE5" s="20" t="s">
        <v>138</v>
      </c>
      <c r="BF5" s="20" t="s">
        <v>138</v>
      </c>
      <c r="BG5" s="190" t="s">
        <v>138</v>
      </c>
      <c r="BH5" s="20" t="s">
        <v>138</v>
      </c>
      <c r="BI5" s="20" t="s">
        <v>138</v>
      </c>
      <c r="BJ5" s="20" t="s">
        <v>138</v>
      </c>
      <c r="BK5" s="20" t="s">
        <v>138</v>
      </c>
      <c r="BL5" s="20" t="s">
        <v>138</v>
      </c>
      <c r="BM5" s="20" t="s">
        <v>138</v>
      </c>
    </row>
    <row r="6" spans="1:67">
      <c r="BG6" s="191"/>
    </row>
    <row r="7" spans="1:67">
      <c r="A7" s="62" t="s">
        <v>292</v>
      </c>
      <c r="B7" s="63"/>
      <c r="C7" s="135">
        <v>203.6</v>
      </c>
      <c r="D7" s="135">
        <v>209.6</v>
      </c>
      <c r="E7" s="135">
        <v>413.2</v>
      </c>
      <c r="F7" s="135">
        <v>207.49999999999994</v>
      </c>
      <c r="G7" s="135">
        <v>620.69999999999993</v>
      </c>
      <c r="H7" s="135">
        <v>223.62300000000005</v>
      </c>
      <c r="I7" s="135">
        <v>844.32299999999998</v>
      </c>
      <c r="J7" s="135">
        <f>'Fin. Highlights - Interim'!C21</f>
        <v>205</v>
      </c>
      <c r="K7" s="135">
        <f>'Fin. Highlights - Interim'!D21</f>
        <v>211.19999999999993</v>
      </c>
      <c r="L7" s="135">
        <f>'Fin. Highlights - Interim'!E21</f>
        <v>416.19999999999993</v>
      </c>
      <c r="M7" s="135">
        <f>'Fin. Highlights - Interim'!F21</f>
        <v>226.00000000000011</v>
      </c>
      <c r="N7" s="135">
        <f>'Fin. Highlights - Interim'!G21</f>
        <v>642.20000000000005</v>
      </c>
      <c r="O7" s="135">
        <f>'Fin. Highlights - Interim'!H21</f>
        <v>234.2</v>
      </c>
      <c r="P7" s="135">
        <f>'Fin. Highlights - Interim'!I21</f>
        <v>876.4</v>
      </c>
      <c r="Q7" s="135">
        <f>'Fin. Highlights - Interim'!J21</f>
        <v>218.4</v>
      </c>
      <c r="R7" s="135">
        <f>'Fin. Highlights - Interim'!K21</f>
        <v>231.70000000000002</v>
      </c>
      <c r="S7" s="135">
        <f>'Fin. Highlights - Interim'!L21</f>
        <v>450.1</v>
      </c>
      <c r="T7" s="135">
        <f>'Fin. Highlights - Interim'!M21</f>
        <v>250</v>
      </c>
      <c r="U7" s="135">
        <f>'Fin. Highlights - Interim'!N21</f>
        <v>700.1</v>
      </c>
      <c r="V7" s="135">
        <f>'Fin. Highlights - Interim'!O21</f>
        <v>254.90000000000003</v>
      </c>
      <c r="W7" s="135">
        <f>'Fin. Highlights - Interim'!P21</f>
        <v>955</v>
      </c>
      <c r="X7" s="135">
        <f>'Fin. Highlights - Interim'!Q21</f>
        <v>219.173</v>
      </c>
      <c r="Y7" s="135">
        <f>'Fin. Highlights - Interim'!R21</f>
        <v>221.327</v>
      </c>
      <c r="Z7" s="135">
        <f>'Fin. Highlights - Interim'!S21</f>
        <v>440.5</v>
      </c>
      <c r="AA7" s="135">
        <f>'Fin. Highlights - Interim'!T21</f>
        <v>244.49999999999997</v>
      </c>
      <c r="AB7" s="135">
        <f>'Fin. Highlights - Interim'!U21</f>
        <v>685</v>
      </c>
      <c r="AC7" s="135">
        <f>'Fin. Highlights - Interim'!V21</f>
        <v>232.30000000000004</v>
      </c>
      <c r="AD7" s="135">
        <f>'Fin. Highlights - Interim'!W21</f>
        <v>917.30000000000007</v>
      </c>
      <c r="AE7" s="135">
        <f>'Fin. Highlights - Interim'!X21</f>
        <v>141.07</v>
      </c>
      <c r="AF7" s="135">
        <f>'Fin. Highlights - Interim'!Y21</f>
        <v>-74.407999999999987</v>
      </c>
      <c r="AG7" s="135">
        <f>'Fin. Highlights - Interim'!Z21</f>
        <v>66.662000000000006</v>
      </c>
      <c r="AH7" s="135">
        <f>'Fin. Highlights - Interim'!AA21</f>
        <v>213.74999999999997</v>
      </c>
      <c r="AI7" s="135">
        <f>'Fin. Highlights - Interim'!AB21</f>
        <v>280.41199999999998</v>
      </c>
      <c r="AJ7" s="135">
        <f>'Fin. Highlights - Interim'!AC21</f>
        <v>220.76800000000003</v>
      </c>
      <c r="AK7" s="135">
        <f>'Fin. Highlights - Interim'!AD21</f>
        <v>501.18</v>
      </c>
      <c r="AL7" s="135">
        <f>'Fin. Highlights - Interim'!AE21</f>
        <v>168.751</v>
      </c>
      <c r="AM7" s="135">
        <f>'Fin. Highlights - Interim'!AF21</f>
        <v>208.614</v>
      </c>
      <c r="AN7" s="135">
        <f>AG25</f>
        <v>377.33200000000011</v>
      </c>
      <c r="AO7" s="135">
        <f>'Fin. Highlights - Interim'!AH21</f>
        <v>221.43100000000004</v>
      </c>
      <c r="AP7" s="135">
        <f>'Fin. Highlights - Interim'!AI21</f>
        <v>598.79600000000005</v>
      </c>
      <c r="AQ7" s="135">
        <f>'Fin. Highlights - Interim'!AJ21</f>
        <v>216.9849999999999</v>
      </c>
      <c r="AR7" s="135">
        <f>'Fin. Highlights - Interim'!AK21</f>
        <v>815.78099999999995</v>
      </c>
      <c r="AS7" s="135">
        <f>'Fin. Highlights - Interim'!AL21</f>
        <v>228.483</v>
      </c>
      <c r="AT7" s="135">
        <f>'Fin. Highlights - Interim'!AM21</f>
        <v>253.07600000000002</v>
      </c>
      <c r="AU7" s="135">
        <f>'Fin. Highlights - Interim'!AN21</f>
        <v>481.55900000000003</v>
      </c>
      <c r="AV7" s="135">
        <f>'Fin. Highlights - Interim'!AO21</f>
        <v>271.89399999999995</v>
      </c>
      <c r="AW7" s="135">
        <f>'Fin. Highlights - Interim'!AP21</f>
        <v>753.45299999999997</v>
      </c>
      <c r="AX7" s="135">
        <f>'Fin. Highlights - Interim'!AQ21</f>
        <v>224.33000000000004</v>
      </c>
      <c r="AY7" s="135">
        <f>'Fin. Highlights - Interim'!AR21</f>
        <v>977.78300000000002</v>
      </c>
      <c r="AZ7" s="135">
        <f>'Fin. Highlights - Interim'!AS21</f>
        <v>248.13</v>
      </c>
      <c r="BA7" s="135">
        <f>'Fin. Highlights - Interim'!AT21</f>
        <v>269.27</v>
      </c>
      <c r="BB7" s="135">
        <f>'Fin. Highlights - Interim'!AU21</f>
        <v>517.4</v>
      </c>
      <c r="BC7" s="135">
        <f>'Fin. Highlights - Interim'!AV21</f>
        <v>265.09357113620206</v>
      </c>
      <c r="BD7" s="135">
        <f>'Fin. Highlights - Interim'!AW21</f>
        <v>782.49357113620204</v>
      </c>
      <c r="BE7" s="135">
        <f>'Fin. Highlights - Interim'!AX21</f>
        <v>219.29293041545793</v>
      </c>
      <c r="BF7" s="135">
        <f>'Fin. Highlights - Interim'!AY21</f>
        <v>1001.78650155166</v>
      </c>
      <c r="BG7" s="135">
        <f>'Fin. Highlights - Interim'!AZ21</f>
        <v>262.58856325297302</v>
      </c>
      <c r="BH7" s="135">
        <f>'Fin. Highlights - Interim'!BA21</f>
        <v>276.48143674702703</v>
      </c>
      <c r="BI7" s="135">
        <f>'Fin. Highlights - Interim'!BB21</f>
        <v>539.07000000000005</v>
      </c>
      <c r="BJ7" s="135">
        <f>'Fin. Highlights - Interim'!BC21</f>
        <v>276.81978198952629</v>
      </c>
      <c r="BK7" s="135">
        <f>'Fin. Highlights - Interim'!BD21</f>
        <v>815.88978198952634</v>
      </c>
      <c r="BL7" s="135">
        <f>'Fin. Highlights - Interim'!BE21</f>
        <v>244.63824880875347</v>
      </c>
      <c r="BM7" s="135">
        <f>'Fin. Highlights - Interim'!BF21</f>
        <v>1060.5280307982798</v>
      </c>
    </row>
    <row r="8" spans="1:67">
      <c r="C8" s="22"/>
      <c r="D8" s="136"/>
      <c r="E8" s="22"/>
      <c r="F8" s="136"/>
      <c r="G8" s="22"/>
      <c r="H8" s="136"/>
      <c r="I8" s="22"/>
      <c r="J8" s="22"/>
      <c r="K8" s="136"/>
      <c r="L8" s="22"/>
      <c r="M8" s="22"/>
      <c r="N8" s="22"/>
      <c r="O8" s="22"/>
      <c r="P8" s="22"/>
      <c r="Q8" s="22"/>
      <c r="R8" s="136"/>
      <c r="S8" s="22"/>
      <c r="T8" s="22"/>
      <c r="U8" s="22"/>
      <c r="V8" s="22"/>
      <c r="W8" s="22"/>
      <c r="X8" s="22"/>
      <c r="Y8" s="136"/>
      <c r="Z8" s="22"/>
      <c r="AA8" s="22"/>
      <c r="AB8" s="22"/>
      <c r="AC8" s="22"/>
      <c r="AD8" s="22"/>
      <c r="AE8" s="22"/>
      <c r="AF8" s="136"/>
      <c r="AG8" s="22"/>
      <c r="AH8" s="22"/>
      <c r="AI8" s="22"/>
      <c r="AJ8" s="22"/>
      <c r="AK8" s="22"/>
      <c r="AL8" s="22"/>
      <c r="AM8" s="136"/>
      <c r="AN8" s="22"/>
      <c r="AO8" s="22"/>
      <c r="AP8" s="22"/>
      <c r="AQ8" s="22"/>
      <c r="AR8" s="22"/>
      <c r="AS8" s="22"/>
      <c r="AT8" s="136"/>
      <c r="AU8" s="22"/>
      <c r="AV8" s="136"/>
      <c r="AW8" s="22"/>
      <c r="AX8" s="136"/>
      <c r="AY8" s="22"/>
      <c r="AZ8" s="22"/>
      <c r="BA8" s="136"/>
      <c r="BB8" s="22"/>
      <c r="BC8" s="136"/>
      <c r="BD8" s="22"/>
      <c r="BE8" s="136"/>
      <c r="BF8" s="22"/>
      <c r="BG8" s="192"/>
      <c r="BH8" s="136"/>
      <c r="BI8" s="22"/>
      <c r="BJ8" s="136"/>
      <c r="BK8" s="22"/>
      <c r="BL8" s="136"/>
      <c r="BM8" s="22"/>
    </row>
    <row r="9" spans="1:67">
      <c r="A9" s="19" t="s">
        <v>20</v>
      </c>
      <c r="B9" s="11"/>
      <c r="C9" s="23">
        <v>16.399999999999999</v>
      </c>
      <c r="D9" s="49">
        <f>IFERROR(E9-C9,"n.a.")</f>
        <v>-1.8999999999999986</v>
      </c>
      <c r="E9" s="23">
        <v>14.5</v>
      </c>
      <c r="F9" s="49">
        <f>IFERROR(G9-E9,"n.a.")</f>
        <v>5.1999999999999993</v>
      </c>
      <c r="G9" s="23">
        <v>19.7</v>
      </c>
      <c r="H9" s="49">
        <f>IFERROR(I9-G9,"n.a.")</f>
        <v>3.5</v>
      </c>
      <c r="I9" s="206">
        <f>'Adj. EBIT bridge - FY'!C9</f>
        <v>23.2</v>
      </c>
      <c r="J9" s="23">
        <v>-8</v>
      </c>
      <c r="K9" s="49">
        <f>IFERROR(L9-J9,"n.a.")</f>
        <v>-4.5</v>
      </c>
      <c r="L9" s="23">
        <v>-12.5</v>
      </c>
      <c r="M9" s="49">
        <f>IFERROR(N9-L9,"n.a.")</f>
        <v>-16.5</v>
      </c>
      <c r="N9" s="23">
        <v>-29</v>
      </c>
      <c r="O9" s="49">
        <f>IFERROR(P9-N9,"n.a.")</f>
        <v>-39.299999999999997</v>
      </c>
      <c r="P9" s="206">
        <f>'Adj. EBIT bridge - FY'!D9</f>
        <v>-68.3</v>
      </c>
      <c r="Q9" s="23">
        <v>-37.700000000000003</v>
      </c>
      <c r="R9" s="49">
        <f>IFERROR(S9-Q9,"n.a.")</f>
        <v>-19.199999999999996</v>
      </c>
      <c r="S9" s="23">
        <v>-56.9</v>
      </c>
      <c r="T9" s="49">
        <f>IFERROR(U9-S9,"n.a.")</f>
        <v>3</v>
      </c>
      <c r="U9" s="23">
        <v>-53.9</v>
      </c>
      <c r="V9" s="49">
        <f>IFERROR(W9-U9,"n.a.")</f>
        <v>9.1000000000000014</v>
      </c>
      <c r="W9" s="206">
        <f>'Adj. EBIT bridge - FY'!E9</f>
        <v>-44.8</v>
      </c>
      <c r="X9" s="23">
        <v>-95</v>
      </c>
      <c r="Y9" s="49">
        <f>IFERROR(Z9-X9,"n.a.")</f>
        <v>-237.20000000000005</v>
      </c>
      <c r="Z9" s="23">
        <v>-332.20000000000005</v>
      </c>
      <c r="AA9" s="49">
        <f>IFERROR(AB9-Z9,"n.a.")</f>
        <v>-22.399999999999977</v>
      </c>
      <c r="AB9" s="23">
        <v>-354.6</v>
      </c>
      <c r="AC9" s="49">
        <f>IFERROR(AD9-AB9,"n.a.")</f>
        <v>4.0200000000000387</v>
      </c>
      <c r="AD9" s="33">
        <f>'Adj. EBIT bridge - FY'!F9</f>
        <v>-350.58</v>
      </c>
      <c r="AE9" s="23">
        <v>95.9</v>
      </c>
      <c r="AF9" s="49">
        <f>IFERROR(AG9-AE9,"n.a.")</f>
        <v>219.07000000000002</v>
      </c>
      <c r="AG9" s="23">
        <v>314.97000000000003</v>
      </c>
      <c r="AH9" s="49">
        <f>IFERROR(AI9-AG9,"n.a.")</f>
        <v>-5.4700000000000273</v>
      </c>
      <c r="AI9" s="23">
        <v>309.5</v>
      </c>
      <c r="AJ9" s="49">
        <f>IFERROR(AK9-AI9,"n.a.")</f>
        <v>-42.899999999999977</v>
      </c>
      <c r="AK9" s="33">
        <f>'Adj. EBIT bridge - FY'!G9</f>
        <v>266.60000000000002</v>
      </c>
      <c r="AL9" s="23">
        <v>-7.4</v>
      </c>
      <c r="AM9" s="49">
        <f>IFERROR(AN9-AL9,"n.a.")</f>
        <v>-3.5</v>
      </c>
      <c r="AN9" s="23">
        <v>-10.9</v>
      </c>
      <c r="AO9" s="49">
        <f>IFERROR(AP9-AN9,"n.a.")</f>
        <v>10.993315814704173</v>
      </c>
      <c r="AP9" s="23">
        <v>9.331581470417305E-2</v>
      </c>
      <c r="AQ9" s="49">
        <f>IFERROR(AR9-AP9,"n.a.")</f>
        <v>-21.893315814704174</v>
      </c>
      <c r="AR9" s="33">
        <f>'Adj. EBIT bridge - FY'!H9</f>
        <v>-21.8</v>
      </c>
      <c r="AS9" s="23">
        <v>-20.399999999999999</v>
      </c>
      <c r="AT9" s="49">
        <f>IFERROR(AU9-AS9,"n.a.")</f>
        <v>-8.16</v>
      </c>
      <c r="AU9" s="23">
        <v>-28.56</v>
      </c>
      <c r="AV9" s="49">
        <f>IFERROR(AW9-AU9,"n.a.")</f>
        <v>-35.999635921022403</v>
      </c>
      <c r="AW9" s="23">
        <v>-64.559635921022405</v>
      </c>
      <c r="AX9" s="49">
        <f>IFERROR(AY9-AW9,"n.a.")</f>
        <v>13.153026091205696</v>
      </c>
      <c r="AY9" s="23">
        <f>+'Adj. EBIT bridge - FY'!I9</f>
        <v>-51.406609829816709</v>
      </c>
      <c r="AZ9" s="23">
        <v>15.003</v>
      </c>
      <c r="BA9" s="49">
        <f>IFERROR(BB9-AZ9,"n.a.")</f>
        <v>8.5970000000000013</v>
      </c>
      <c r="BB9" s="23">
        <v>23.6</v>
      </c>
      <c r="BC9" s="49">
        <f>IFERROR(BD9-BB9,"n.a.")</f>
        <v>21.223741792050397</v>
      </c>
      <c r="BD9" s="23">
        <v>44.823741792050399</v>
      </c>
      <c r="BE9" s="49">
        <f>IFERROR(BF9-BD9,"n.a.")</f>
        <v>3.8762582079495971</v>
      </c>
      <c r="BF9" s="23">
        <v>48.699999999999996</v>
      </c>
      <c r="BG9" s="193">
        <v>5.7240000000000002</v>
      </c>
      <c r="BH9" s="49">
        <f>IFERROR(BI9-BG9,"n.a.")</f>
        <v>0.47599999999999998</v>
      </c>
      <c r="BI9" s="23">
        <v>6.2</v>
      </c>
      <c r="BJ9" s="49">
        <f>IFERROR(BK9-BI9,"n.a.")</f>
        <v>-10.583012212820371</v>
      </c>
      <c r="BK9" s="23">
        <v>-4.383012212820371</v>
      </c>
      <c r="BL9" s="49">
        <f>IFERROR(BM9-BK9,"n.a.")</f>
        <v>15.44472662154562</v>
      </c>
      <c r="BM9" s="23">
        <f>+'Adj. EBIT bridge - FY'!K9</f>
        <v>11.061714408725249</v>
      </c>
    </row>
    <row r="10" spans="1:67">
      <c r="C10" s="126"/>
      <c r="D10" s="137"/>
      <c r="E10" s="126"/>
      <c r="F10" s="137"/>
      <c r="G10" s="126"/>
      <c r="H10" s="137"/>
      <c r="I10" s="126"/>
      <c r="J10" s="126"/>
      <c r="K10" s="137"/>
      <c r="L10" s="126"/>
      <c r="M10" s="137"/>
      <c r="N10" s="126"/>
      <c r="O10" s="126"/>
      <c r="P10" s="126"/>
      <c r="Q10" s="126"/>
      <c r="R10" s="137"/>
      <c r="S10" s="126"/>
      <c r="T10" s="137"/>
      <c r="U10" s="126"/>
      <c r="V10" s="126"/>
      <c r="W10" s="126"/>
      <c r="X10" s="126"/>
      <c r="Y10" s="137"/>
      <c r="Z10" s="126"/>
      <c r="AA10" s="137"/>
      <c r="AB10" s="126"/>
      <c r="AC10" s="126"/>
      <c r="AD10" s="126"/>
      <c r="AE10" s="126"/>
      <c r="AF10" s="137"/>
      <c r="AG10" s="126"/>
      <c r="AH10" s="137"/>
      <c r="AI10" s="126"/>
      <c r="AJ10" s="126"/>
      <c r="AK10" s="126"/>
      <c r="AL10" s="126"/>
      <c r="AM10" s="137"/>
      <c r="AN10" s="126"/>
      <c r="AO10" s="137"/>
      <c r="AP10" s="126"/>
      <c r="AQ10" s="126"/>
      <c r="AR10" s="126"/>
      <c r="AS10" s="126"/>
      <c r="AT10" s="137"/>
      <c r="AU10" s="126"/>
      <c r="AV10" s="137"/>
      <c r="AW10" s="126"/>
      <c r="AX10" s="137"/>
      <c r="AY10" s="126"/>
      <c r="AZ10" s="126"/>
      <c r="BA10" s="137"/>
      <c r="BB10" s="126"/>
      <c r="BC10" s="137"/>
      <c r="BD10" s="126"/>
      <c r="BE10" s="137"/>
      <c r="BF10" s="126"/>
      <c r="BG10" s="194"/>
      <c r="BH10" s="137"/>
      <c r="BI10" s="126"/>
      <c r="BJ10" s="137"/>
      <c r="BK10" s="126"/>
      <c r="BL10" s="137"/>
      <c r="BM10" s="126"/>
    </row>
    <row r="11" spans="1:67">
      <c r="A11" s="19" t="s">
        <v>21</v>
      </c>
      <c r="B11" s="11"/>
      <c r="C11" s="23">
        <v>39.6</v>
      </c>
      <c r="D11" s="49">
        <f>IFERROR(E11-C11,"n.a.")</f>
        <v>71</v>
      </c>
      <c r="E11" s="23">
        <v>110.6</v>
      </c>
      <c r="F11" s="49">
        <f>IFERROR(G11-E11,"n.a.")</f>
        <v>90.800000000000011</v>
      </c>
      <c r="G11" s="23">
        <v>201.4</v>
      </c>
      <c r="H11" s="49">
        <f>IFERROR(I11-G11,"n.a.")</f>
        <v>76.099999999999994</v>
      </c>
      <c r="I11" s="206">
        <f>'Adj. EBIT bridge - FY'!C11</f>
        <v>277.5</v>
      </c>
      <c r="J11" s="23">
        <v>62.7</v>
      </c>
      <c r="K11" s="49">
        <f>IFERROR(L11-J11,"n.a.")</f>
        <v>50.099999999999994</v>
      </c>
      <c r="L11" s="23">
        <v>112.8</v>
      </c>
      <c r="M11" s="49">
        <f>IFERROR(N11-L11,"n.a.")</f>
        <v>47.000000000000014</v>
      </c>
      <c r="N11" s="23">
        <v>159.80000000000001</v>
      </c>
      <c r="O11" s="49">
        <f>IFERROR(P11-N11,"n.a.")</f>
        <v>78.899999999999977</v>
      </c>
      <c r="P11" s="206">
        <f>'Adj. EBIT bridge - FY'!D11</f>
        <v>238.7</v>
      </c>
      <c r="Q11" s="23">
        <v>62.7</v>
      </c>
      <c r="R11" s="49">
        <f>IFERROR(S11-Q11,"n.a.")</f>
        <v>37.899999999999991</v>
      </c>
      <c r="S11" s="23">
        <v>100.6</v>
      </c>
      <c r="T11" s="49">
        <f>IFERROR(U11-S11,"n.a.")</f>
        <v>20</v>
      </c>
      <c r="U11" s="23">
        <v>120.6</v>
      </c>
      <c r="V11" s="49">
        <f>IFERROR(W11-U11,"n.a.")</f>
        <v>2.3000000000000114</v>
      </c>
      <c r="W11" s="206">
        <f>'Adj. EBIT bridge - FY'!E11</f>
        <v>122.9</v>
      </c>
      <c r="X11" s="23">
        <v>-14.87</v>
      </c>
      <c r="Y11" s="49">
        <f>IFERROR(Z11-X11,"n.a.")</f>
        <v>21.869999999999997</v>
      </c>
      <c r="Z11" s="23">
        <v>7</v>
      </c>
      <c r="AA11" s="49">
        <f>IFERROR(AB11-Z11,"n.a.")</f>
        <v>14.399999999999999</v>
      </c>
      <c r="AB11" s="23">
        <v>21.4</v>
      </c>
      <c r="AC11" s="49">
        <f>IFERROR(AD11-AB11,"n.a.")</f>
        <v>-1.8699999999999974</v>
      </c>
      <c r="AD11" s="33">
        <f>'Adj. EBIT bridge - FY'!F11</f>
        <v>19.53</v>
      </c>
      <c r="AE11" s="23">
        <v>16</v>
      </c>
      <c r="AF11" s="49">
        <f>IFERROR(AG11-AE11,"n.a.")</f>
        <v>31</v>
      </c>
      <c r="AG11" s="23">
        <v>47</v>
      </c>
      <c r="AH11" s="49">
        <f>IFERROR(AI11-AG11,"n.a.")</f>
        <v>103</v>
      </c>
      <c r="AI11" s="23">
        <v>150</v>
      </c>
      <c r="AJ11" s="49">
        <f>IFERROR(AK11-AI11,"n.a.")</f>
        <v>132.69999999999999</v>
      </c>
      <c r="AK11" s="33">
        <f>'Adj. EBIT bridge - FY'!G11</f>
        <v>282.7</v>
      </c>
      <c r="AL11" s="23">
        <v>206.2</v>
      </c>
      <c r="AM11" s="49">
        <f>IFERROR(AN11-AL11,"n.a.")</f>
        <v>229.2</v>
      </c>
      <c r="AN11" s="23">
        <v>435.4</v>
      </c>
      <c r="AO11" s="49">
        <f>IFERROR(AP11-AN11,"n.a.")</f>
        <v>241.95000000000005</v>
      </c>
      <c r="AP11" s="23">
        <v>677.35</v>
      </c>
      <c r="AQ11" s="49">
        <f>IFERROR(AR11-AP11-0.1,"n.a.")</f>
        <v>213.25000000000003</v>
      </c>
      <c r="AR11" s="33">
        <f>'Adj. EBIT bridge - FY'!H11</f>
        <v>890.7</v>
      </c>
      <c r="AS11" s="23">
        <v>198.3</v>
      </c>
      <c r="AT11" s="49">
        <f>IFERROR(AU11-AS11,"n.a.")</f>
        <v>146.58999999999997</v>
      </c>
      <c r="AU11" s="23">
        <v>344.89</v>
      </c>
      <c r="AV11" s="49">
        <f>IFERROR(AW11-AU11,"n.a.")</f>
        <v>103.75770111867024</v>
      </c>
      <c r="AW11" s="23">
        <v>448.64770111867023</v>
      </c>
      <c r="AX11" s="49">
        <f>IFERROR(AY11-AW11,"n.a.")</f>
        <v>37.563751503817059</v>
      </c>
      <c r="AY11" s="23">
        <f>+'Adj. EBIT bridge - FY'!I11</f>
        <v>486.21145262248729</v>
      </c>
      <c r="AZ11" s="23">
        <v>27</v>
      </c>
      <c r="BA11" s="49">
        <f>IFERROR(BB11-AZ11,"n.a.")</f>
        <v>33.36</v>
      </c>
      <c r="BB11" s="23">
        <v>60.36</v>
      </c>
      <c r="BC11" s="49">
        <f>IFERROR(BD11-BB11,"n.a.")</f>
        <v>31.014016034211707</v>
      </c>
      <c r="BD11" s="23">
        <v>91.374016034211706</v>
      </c>
      <c r="BE11" s="49">
        <f>IFERROR(BF11-BD11,"n.a.")</f>
        <v>18.597326314858449</v>
      </c>
      <c r="BF11" s="23">
        <v>109.97134234907016</v>
      </c>
      <c r="BG11" s="193">
        <v>42.301000000000002</v>
      </c>
      <c r="BH11" s="49">
        <f>IFERROR(BI11-BG11,"n.a.")</f>
        <v>51.599000000000004</v>
      </c>
      <c r="BI11" s="23">
        <v>93.9</v>
      </c>
      <c r="BJ11" s="49">
        <f>IFERROR(BK11-BI11,"n.a.")</f>
        <v>46.842009740600247</v>
      </c>
      <c r="BK11" s="23">
        <v>140.74200974060025</v>
      </c>
      <c r="BL11" s="49">
        <f>IFERROR(BM11-BK11,"n.a.")</f>
        <v>31.92266238746339</v>
      </c>
      <c r="BM11" s="23">
        <f>+'Adj. EBIT bridge - FY'!K11</f>
        <v>172.66467212806364</v>
      </c>
    </row>
    <row r="12" spans="1:67" ht="12.5">
      <c r="C12" s="126"/>
      <c r="D12" s="137"/>
      <c r="E12" s="126"/>
      <c r="F12" s="137"/>
      <c r="G12" s="126"/>
      <c r="H12" s="137"/>
      <c r="I12" s="126"/>
      <c r="J12" s="126"/>
      <c r="K12" s="137"/>
      <c r="L12" s="126"/>
      <c r="M12" s="137"/>
      <c r="N12" s="126"/>
      <c r="O12" s="126"/>
      <c r="P12" s="126"/>
      <c r="Q12" s="126"/>
      <c r="R12" s="137"/>
      <c r="S12" s="126"/>
      <c r="T12" s="137"/>
      <c r="U12" s="126"/>
      <c r="V12" s="126"/>
      <c r="W12" s="126"/>
      <c r="X12" s="126"/>
      <c r="Y12" s="137"/>
      <c r="Z12" s="126"/>
      <c r="AA12" s="137"/>
      <c r="AB12" s="126"/>
      <c r="AC12" s="126"/>
      <c r="AD12" s="126"/>
      <c r="AE12" s="126"/>
      <c r="AF12" s="137"/>
      <c r="AG12" s="126"/>
      <c r="AH12" s="137"/>
      <c r="AI12" s="126"/>
      <c r="AJ12" s="126"/>
      <c r="AK12" s="126"/>
      <c r="AL12" s="126"/>
      <c r="AM12" s="137"/>
      <c r="AN12" s="126"/>
      <c r="AO12" s="137"/>
      <c r="AP12" s="126"/>
      <c r="AQ12" s="126"/>
      <c r="AR12" s="126"/>
      <c r="AS12" s="126"/>
      <c r="AT12" s="137"/>
      <c r="AU12" s="126"/>
      <c r="AV12" s="137"/>
      <c r="AW12" s="126"/>
      <c r="AX12" s="137"/>
      <c r="AY12" s="126"/>
      <c r="AZ12" s="126"/>
      <c r="BA12" s="137"/>
      <c r="BB12" s="126"/>
      <c r="BC12" s="137"/>
      <c r="BD12" s="126"/>
      <c r="BE12" s="137"/>
      <c r="BF12" s="126"/>
      <c r="BG12" s="194"/>
      <c r="BH12" s="137"/>
      <c r="BI12" s="126"/>
      <c r="BJ12" s="137"/>
      <c r="BK12" s="126"/>
      <c r="BL12" s="137"/>
      <c r="BM12" s="126"/>
      <c r="BN12" s="83"/>
    </row>
    <row r="13" spans="1:67" ht="12.5">
      <c r="A13" s="19" t="s">
        <v>30</v>
      </c>
      <c r="B13" s="11"/>
      <c r="C13" s="23">
        <v>7.4</v>
      </c>
      <c r="D13" s="49">
        <f>IFERROR(E13-C13,"n.a.")</f>
        <v>17.399999999999999</v>
      </c>
      <c r="E13" s="23">
        <v>24.8</v>
      </c>
      <c r="F13" s="49">
        <f>IFERROR(G13-E13,"n.a.")</f>
        <v>9.1999999999999993</v>
      </c>
      <c r="G13" s="23">
        <v>34</v>
      </c>
      <c r="H13" s="49">
        <f>IFERROR(I13-G13,"n.a.")</f>
        <v>12.600000000000001</v>
      </c>
      <c r="I13" s="206">
        <f>'Adj. EBIT bridge - FY'!C13</f>
        <v>46.6</v>
      </c>
      <c r="J13" s="23">
        <v>9</v>
      </c>
      <c r="K13" s="49">
        <f>IFERROR(L13-J13,"n.a.")</f>
        <v>10</v>
      </c>
      <c r="L13" s="23">
        <v>19</v>
      </c>
      <c r="M13" s="49">
        <f>IFERROR(N13-L13,"n.a.")</f>
        <v>23.6</v>
      </c>
      <c r="N13" s="23">
        <v>42.6</v>
      </c>
      <c r="O13" s="49">
        <f>IFERROR(P13-N13,"n.a.")</f>
        <v>27.499999999999993</v>
      </c>
      <c r="P13" s="206">
        <f>'Adj. EBIT bridge - FY'!D13</f>
        <v>70.099999999999994</v>
      </c>
      <c r="Q13" s="23">
        <v>16.399999999999999</v>
      </c>
      <c r="R13" s="49">
        <f>IFERROR(S13-Q13,"n.a.")</f>
        <v>19.700000000000003</v>
      </c>
      <c r="S13" s="23">
        <v>36.1</v>
      </c>
      <c r="T13" s="49">
        <f>IFERROR(U13-S13,"n.a.")</f>
        <v>20</v>
      </c>
      <c r="U13" s="23">
        <v>56.1</v>
      </c>
      <c r="V13" s="49">
        <f>IFERROR(W13-U13,"n.a.")</f>
        <v>13.899999999999999</v>
      </c>
      <c r="W13" s="206">
        <f>'Adj. EBIT bridge - FY'!E13</f>
        <v>70</v>
      </c>
      <c r="X13" s="23">
        <v>31.22</v>
      </c>
      <c r="Y13" s="49">
        <f>IFERROR(Z13-X13,"n.a.")</f>
        <v>32.58</v>
      </c>
      <c r="Z13" s="23">
        <v>63.8</v>
      </c>
      <c r="AA13" s="49">
        <f>IFERROR(AB13-Z13,"n.a.")</f>
        <v>45</v>
      </c>
      <c r="AB13" s="23">
        <v>108.8</v>
      </c>
      <c r="AC13" s="49">
        <f>IFERROR(AD13-AB13,"n.a.")</f>
        <v>50.8</v>
      </c>
      <c r="AD13" s="33">
        <f>'Adj. EBIT bridge - FY'!F13</f>
        <v>159.6</v>
      </c>
      <c r="AE13" s="23">
        <v>25.8</v>
      </c>
      <c r="AF13" s="49">
        <f>IFERROR(AG13-AE13,"n.a.")</f>
        <v>56.7</v>
      </c>
      <c r="AG13" s="23">
        <v>82.5</v>
      </c>
      <c r="AH13" s="49">
        <f>IFERROR(AI13-AG13,"n.a.")</f>
        <v>27.200000000000003</v>
      </c>
      <c r="AI13" s="23">
        <v>109.7</v>
      </c>
      <c r="AJ13" s="49">
        <f>IFERROR(AK13-AI13,"n.a.")</f>
        <v>44.899999999999991</v>
      </c>
      <c r="AK13" s="33">
        <f>'Adj. EBIT bridge - FY'!G13</f>
        <v>154.6</v>
      </c>
      <c r="AL13" s="23">
        <v>28.6</v>
      </c>
      <c r="AM13" s="49">
        <f>IFERROR(AN13-AL13,"n.a.")</f>
        <v>23.1</v>
      </c>
      <c r="AN13" s="23">
        <v>51.7</v>
      </c>
      <c r="AO13" s="49">
        <f>IFERROR(AP13-AN13,"n.a.")</f>
        <v>33.899999999999991</v>
      </c>
      <c r="AP13" s="23">
        <v>85.6</v>
      </c>
      <c r="AQ13" s="49">
        <f>IFERROR(AR13-AP13,"n.a.")</f>
        <v>50.399999999999949</v>
      </c>
      <c r="AR13" s="33">
        <f>'Adj. EBIT bridge - FY'!H13</f>
        <v>135.99999999999994</v>
      </c>
      <c r="AS13" s="23">
        <v>9.8000000000000007</v>
      </c>
      <c r="AT13" s="49">
        <f>IFERROR(AU13-AS13,"n.a.")</f>
        <v>20.62</v>
      </c>
      <c r="AU13" s="23">
        <v>30.42</v>
      </c>
      <c r="AV13" s="49">
        <f>IFERROR(AW13-AU13,"n.a.")</f>
        <v>30.977027597899294</v>
      </c>
      <c r="AW13" s="23">
        <v>61.397027597899296</v>
      </c>
      <c r="AX13" s="49">
        <f>IFERROR(AY13-AW13,"n.a.")</f>
        <v>30.601797318024182</v>
      </c>
      <c r="AY13" s="23">
        <f>+'Adj. EBIT bridge - FY'!I13</f>
        <v>91.998824915923478</v>
      </c>
      <c r="AZ13" s="23">
        <v>31.962</v>
      </c>
      <c r="BA13" s="49">
        <f>IFERROR(BB13-AZ13,"n.a.")</f>
        <v>39.447999999999993</v>
      </c>
      <c r="BB13" s="23">
        <v>71.41</v>
      </c>
      <c r="BC13" s="49">
        <f>IFERROR(BD13-BB13,"n.a.")</f>
        <v>36.81555576672389</v>
      </c>
      <c r="BD13" s="23">
        <v>108.22555576672389</v>
      </c>
      <c r="BE13" s="49">
        <f>IFERROR(BF13-BD13,"n.a.")</f>
        <v>34.974444233276103</v>
      </c>
      <c r="BF13" s="23">
        <v>143.19999999999999</v>
      </c>
      <c r="BG13" s="193">
        <v>25.010999999999999</v>
      </c>
      <c r="BH13" s="49">
        <f>IFERROR(BI13-BG13,"n.a.")</f>
        <v>44.689000000000007</v>
      </c>
      <c r="BI13" s="23">
        <v>69.7</v>
      </c>
      <c r="BJ13" s="49">
        <f>IFERROR(BK13-BI13,"n.a.")</f>
        <v>47.551754461816799</v>
      </c>
      <c r="BK13" s="23">
        <v>117.2517544618168</v>
      </c>
      <c r="BL13" s="49">
        <f>IFERROR(BM13-BK13,"n.a.")</f>
        <v>40.748245538183198</v>
      </c>
      <c r="BM13" s="23">
        <f>+'Adj. EBIT bridge - FY'!K13</f>
        <v>158</v>
      </c>
      <c r="BN13" s="83"/>
    </row>
    <row r="14" spans="1:67" ht="12.5" hidden="1" outlineLevel="1">
      <c r="C14" s="22"/>
      <c r="D14" s="136"/>
      <c r="E14" s="22"/>
      <c r="F14" s="136"/>
      <c r="G14" s="22"/>
      <c r="H14" s="136"/>
      <c r="I14" s="22"/>
      <c r="J14" s="22"/>
      <c r="K14" s="136"/>
      <c r="L14" s="22"/>
      <c r="M14" s="136"/>
      <c r="N14" s="22"/>
      <c r="O14" s="22"/>
      <c r="P14" s="22"/>
      <c r="Q14" s="22"/>
      <c r="R14" s="136"/>
      <c r="S14" s="22"/>
      <c r="T14" s="136"/>
      <c r="U14" s="22"/>
      <c r="V14" s="22"/>
      <c r="W14" s="22"/>
      <c r="X14" s="22"/>
      <c r="Y14" s="136"/>
      <c r="Z14" s="22"/>
      <c r="AA14" s="136"/>
      <c r="AB14" s="22"/>
      <c r="AC14" s="22"/>
      <c r="AD14" s="22"/>
      <c r="AE14" s="22"/>
      <c r="AF14" s="136"/>
      <c r="AG14" s="22"/>
      <c r="AH14" s="136"/>
      <c r="AI14" s="22"/>
      <c r="AJ14" s="22"/>
      <c r="AK14" s="22"/>
      <c r="AL14" s="22"/>
      <c r="AM14" s="136"/>
      <c r="AN14" s="22"/>
      <c r="AO14" s="136"/>
      <c r="AP14" s="22"/>
      <c r="AQ14" s="22"/>
      <c r="AR14" s="22"/>
      <c r="AS14" s="22"/>
      <c r="AT14" s="136"/>
      <c r="AU14" s="22"/>
      <c r="AV14" s="136"/>
      <c r="AW14" s="22"/>
      <c r="AX14" s="136"/>
      <c r="AY14" s="22"/>
      <c r="AZ14" s="22"/>
      <c r="BA14" s="136"/>
      <c r="BB14" s="22"/>
      <c r="BC14" s="136"/>
      <c r="BD14" s="22"/>
      <c r="BE14" s="136"/>
      <c r="BF14" s="22"/>
      <c r="BG14" s="192"/>
      <c r="BH14" s="136"/>
      <c r="BI14" s="22"/>
      <c r="BJ14" s="136"/>
      <c r="BK14" s="22"/>
      <c r="BL14" s="136"/>
      <c r="BM14" s="22"/>
      <c r="BN14" s="83"/>
    </row>
    <row r="15" spans="1:67" ht="13" hidden="1" outlineLevel="1">
      <c r="A15" s="19" t="s">
        <v>25</v>
      </c>
      <c r="B15" s="11"/>
      <c r="C15" s="33">
        <v>-14.5</v>
      </c>
      <c r="D15" s="49">
        <f>IFERROR(E15-C15,"n.a.")</f>
        <v>-12.3</v>
      </c>
      <c r="E15" s="33">
        <v>-26.8</v>
      </c>
      <c r="F15" s="49">
        <f>IFERROR(G15-E15,"n.a.")</f>
        <v>0</v>
      </c>
      <c r="G15" s="33">
        <v>-26.8</v>
      </c>
      <c r="H15" s="49">
        <f>IFERROR(I15-G15,"n.a.")</f>
        <v>-23.400000000000002</v>
      </c>
      <c r="I15" s="33">
        <v>-50.2</v>
      </c>
      <c r="J15" s="33">
        <f>IFERROR('Fin. Highlights - Interim'!J19-'Fin. Highlights - Interim'!C19,"n.a.")</f>
        <v>3.5</v>
      </c>
      <c r="K15" s="49">
        <f>IFERROR(L15-J15,"n.a.")</f>
        <v>0.10000000000001208</v>
      </c>
      <c r="L15" s="33">
        <f>IFERROR('Fin. Highlights - Interim'!L19-'Fin. Highlights - Interim'!E19,"n.a.")</f>
        <v>3.6000000000000121</v>
      </c>
      <c r="M15" s="49">
        <f>IFERROR(N15-L15,"n.a.")</f>
        <v>3.3999999999999879</v>
      </c>
      <c r="N15" s="33">
        <f>IFERROR('Fin. Highlights - Interim'!N19-'Fin. Highlights - Interim'!G19,"n.a.")</f>
        <v>7</v>
      </c>
      <c r="O15" s="49">
        <f>IFERROR(P15-N15,"n.a.")</f>
        <v>-4.5</v>
      </c>
      <c r="P15" s="33">
        <f>IFERROR('Fin. Highlights - Interim'!P19-'Fin. Highlights - Interim'!I19,"n.a.")</f>
        <v>2.5</v>
      </c>
      <c r="Q15" s="33">
        <f>IFERROR('Fin. Highlights - Interim'!Q19-'Fin. Highlights - Interim'!J19,"n.a.")</f>
        <v>-0.5</v>
      </c>
      <c r="R15" s="49">
        <f>IFERROR(S15-Q15,"n.a.")</f>
        <v>1.8000000000000114</v>
      </c>
      <c r="S15" s="33">
        <f>IFERROR('Fin. Highlights - Interim'!S19-'Fin. Highlights - Interim'!L19,"n.a.")</f>
        <v>1.3000000000000114</v>
      </c>
      <c r="T15" s="49">
        <f>IFERROR(U15-S15,"n.a.")</f>
        <v>1.2999999999999901</v>
      </c>
      <c r="U15" s="33">
        <f>IFERROR('Fin. Highlights - Interim'!U19-'Fin. Highlights - Interim'!N19,"n.a.")</f>
        <v>2.6000000000000014</v>
      </c>
      <c r="V15" s="49">
        <f>IFERROR(W15-U15,"n.a.")</f>
        <v>3.8000000000000043</v>
      </c>
      <c r="W15" s="33">
        <f>IFERROR('Fin. Highlights - Interim'!W19-'Fin. Highlights - Interim'!P19,"n.a.")</f>
        <v>6.4000000000000057</v>
      </c>
      <c r="X15" s="33"/>
      <c r="Y15" s="49"/>
      <c r="Z15" s="33"/>
      <c r="AA15" s="49"/>
      <c r="AB15" s="33"/>
      <c r="AC15" s="49"/>
      <c r="AD15" s="33"/>
      <c r="AE15" s="33"/>
      <c r="AF15" s="49"/>
      <c r="AG15" s="33"/>
      <c r="AH15" s="49"/>
      <c r="AI15" s="33"/>
      <c r="AJ15" s="49"/>
      <c r="AK15" s="33"/>
      <c r="AL15" s="33"/>
      <c r="AM15" s="49"/>
      <c r="AN15" s="33"/>
      <c r="AO15" s="49"/>
      <c r="AP15" s="33"/>
      <c r="AQ15" s="49"/>
      <c r="AR15" s="33"/>
      <c r="AS15" s="33"/>
      <c r="AT15" s="49"/>
      <c r="AU15" s="33"/>
      <c r="AV15" s="49"/>
      <c r="AW15" s="33"/>
      <c r="AX15" s="49"/>
      <c r="AY15" s="33"/>
      <c r="AZ15" s="33"/>
      <c r="BA15" s="49"/>
      <c r="BB15" s="33"/>
      <c r="BC15" s="49"/>
      <c r="BD15" s="33"/>
      <c r="BE15" s="49"/>
      <c r="BF15" s="33"/>
      <c r="BG15" s="195"/>
      <c r="BH15" s="49"/>
      <c r="BI15" s="33"/>
      <c r="BJ15" s="49"/>
      <c r="BK15" s="33"/>
      <c r="BL15" s="49"/>
      <c r="BM15" s="33"/>
      <c r="BN15" s="14"/>
    </row>
    <row r="16" spans="1:67" ht="12.5" collapsed="1">
      <c r="C16" s="126"/>
      <c r="D16" s="137"/>
      <c r="E16" s="126"/>
      <c r="F16" s="137"/>
      <c r="G16" s="126"/>
      <c r="H16" s="137"/>
      <c r="I16" s="126"/>
      <c r="J16" s="126"/>
      <c r="K16" s="137"/>
      <c r="L16" s="126"/>
      <c r="M16" s="126"/>
      <c r="N16" s="126"/>
      <c r="O16" s="126"/>
      <c r="P16" s="126"/>
      <c r="Q16" s="126"/>
      <c r="R16" s="137"/>
      <c r="S16" s="126"/>
      <c r="T16" s="126"/>
      <c r="U16" s="126"/>
      <c r="V16" s="126"/>
      <c r="W16" s="126"/>
      <c r="X16" s="126"/>
      <c r="Y16" s="137"/>
      <c r="Z16" s="126"/>
      <c r="AA16" s="126"/>
      <c r="AB16" s="126"/>
      <c r="AC16" s="126"/>
      <c r="AD16" s="126"/>
      <c r="AE16" s="126"/>
      <c r="AF16" s="137"/>
      <c r="AG16" s="126"/>
      <c r="AH16" s="126"/>
      <c r="AI16" s="126"/>
      <c r="AJ16" s="126"/>
      <c r="AK16" s="126"/>
      <c r="AL16" s="126"/>
      <c r="AM16" s="137"/>
      <c r="AN16" s="126"/>
      <c r="AO16" s="126"/>
      <c r="AP16" s="126"/>
      <c r="AQ16" s="126"/>
      <c r="AR16" s="126"/>
      <c r="AS16" s="126"/>
      <c r="AT16" s="137"/>
      <c r="AU16" s="126"/>
      <c r="AV16" s="137"/>
      <c r="AW16" s="126"/>
      <c r="AX16" s="137"/>
      <c r="AY16" s="126"/>
      <c r="AZ16" s="126"/>
      <c r="BA16" s="137"/>
      <c r="BB16" s="126"/>
      <c r="BC16" s="137"/>
      <c r="BD16" s="126"/>
      <c r="BE16" s="137"/>
      <c r="BF16" s="126"/>
      <c r="BG16" s="194"/>
      <c r="BH16" s="137"/>
      <c r="BI16" s="126"/>
      <c r="BJ16" s="137"/>
      <c r="BK16" s="126"/>
      <c r="BL16" s="137"/>
      <c r="BM16" s="126"/>
      <c r="BN16" s="83"/>
    </row>
    <row r="17" spans="1:67" ht="12.5">
      <c r="A17" s="19" t="s">
        <v>33</v>
      </c>
      <c r="B17" s="11"/>
      <c r="C17" s="23">
        <v>-23.6</v>
      </c>
      <c r="D17" s="49">
        <f>IFERROR(E17-C17,"n.a.")</f>
        <v>5.3000000000000078</v>
      </c>
      <c r="E17" s="23">
        <v>-18.299999999999994</v>
      </c>
      <c r="F17" s="49">
        <f>IFERROR(G17-E17,"n.a.")</f>
        <v>-12.400000000000006</v>
      </c>
      <c r="G17" s="23">
        <v>-30.7</v>
      </c>
      <c r="H17" s="49">
        <f>IFERROR(I17-G17,"n.a.")</f>
        <v>-9.1999999999999922</v>
      </c>
      <c r="I17" s="206">
        <f>'Adj. EBIT bridge - FY'!C17</f>
        <v>-39.899999999999991</v>
      </c>
      <c r="J17" s="23">
        <v>-21.4</v>
      </c>
      <c r="K17" s="49">
        <f>IFERROR(L17-J17,"n.a.")</f>
        <v>-15.899999999999999</v>
      </c>
      <c r="L17" s="23">
        <v>-37.299999999999997</v>
      </c>
      <c r="M17" s="49">
        <f>IFERROR(N17-L17,"n.a.")</f>
        <v>4.7999999999999972</v>
      </c>
      <c r="N17" s="23">
        <v>-32.5</v>
      </c>
      <c r="O17" s="49">
        <f>IFERROR(P17-N17,"n.a.")</f>
        <v>11.8</v>
      </c>
      <c r="P17" s="206">
        <f>'Adj. EBIT bridge - FY'!D17</f>
        <v>-20.7</v>
      </c>
      <c r="Q17" s="23">
        <v>3.9</v>
      </c>
      <c r="R17" s="49">
        <f>IFERROR(S17-Q17,"n.a.")</f>
        <v>3.4999999999999987</v>
      </c>
      <c r="S17" s="23">
        <v>7.3999999999999986</v>
      </c>
      <c r="T17" s="49">
        <f>IFERROR(U17-S17,"n.a.")</f>
        <v>-26.799999999999997</v>
      </c>
      <c r="U17" s="23">
        <v>-19.399999999999999</v>
      </c>
      <c r="V17" s="49">
        <f>IFERROR(W17-U17,"n.a.")</f>
        <v>-31.300000000000004</v>
      </c>
      <c r="W17" s="206">
        <f>'Adj. EBIT bridge - FY'!E17</f>
        <v>-50.7</v>
      </c>
      <c r="X17" s="23">
        <v>20.2</v>
      </c>
      <c r="Y17" s="49">
        <f>IFERROR(Z17-X17,"n.a.")</f>
        <v>-78.5</v>
      </c>
      <c r="Z17" s="23">
        <v>-58.3</v>
      </c>
      <c r="AA17" s="49">
        <f>IFERROR(AB17-Z17,"n.a.")</f>
        <v>-30.900000000000006</v>
      </c>
      <c r="AB17" s="23">
        <v>-89.2</v>
      </c>
      <c r="AC17" s="49">
        <f>IFERROR(AD17-AB17,"n.a.")</f>
        <v>-25.299999999999997</v>
      </c>
      <c r="AD17" s="33">
        <f>'Adj. EBIT bridge - FY'!F17</f>
        <v>-114.5</v>
      </c>
      <c r="AE17" s="23">
        <v>-77.099999999999994</v>
      </c>
      <c r="AF17" s="49">
        <f>IFERROR(AG17-AE17,"n.a.")</f>
        <v>26.699999999999996</v>
      </c>
      <c r="AG17" s="23">
        <v>-50.4</v>
      </c>
      <c r="AH17" s="49">
        <f>IFERROR(AI17-AG17,"n.a.")</f>
        <v>-18.300000000000004</v>
      </c>
      <c r="AI17" s="23">
        <v>-68.7</v>
      </c>
      <c r="AJ17" s="49">
        <f>IFERROR(AK17-AI17,"n.a.")</f>
        <v>-12.200000000000003</v>
      </c>
      <c r="AK17" s="33">
        <f>'Adj. EBIT bridge - FY'!G17</f>
        <v>-80.900000000000006</v>
      </c>
      <c r="AL17" s="23">
        <v>-0.5</v>
      </c>
      <c r="AM17" s="49">
        <f>IFERROR(AN17-AL17,"n.a.")</f>
        <v>-10.1</v>
      </c>
      <c r="AN17" s="23">
        <v>-10.6</v>
      </c>
      <c r="AO17" s="49">
        <f>IFERROR(AP17-AN17,"n.a.")</f>
        <v>-34.1</v>
      </c>
      <c r="AP17" s="23">
        <v>-44.7</v>
      </c>
      <c r="AQ17" s="49">
        <f>IFERROR(AR17-AP17,"n.a.")</f>
        <v>-10</v>
      </c>
      <c r="AR17" s="33">
        <f>'Adj. EBIT bridge - FY'!H17</f>
        <v>-54.7</v>
      </c>
      <c r="AS17" s="23">
        <v>-6.5</v>
      </c>
      <c r="AT17" s="49">
        <f>IFERROR(AU17-AS17,"n.a.")</f>
        <v>-23.3</v>
      </c>
      <c r="AU17" s="23">
        <v>-29.8</v>
      </c>
      <c r="AV17" s="49">
        <f>IFERROR(AW17-AU17,"n.a.")</f>
        <v>-15.191491061155556</v>
      </c>
      <c r="AW17" s="23">
        <v>-44.991491061155557</v>
      </c>
      <c r="AX17" s="49">
        <f>IFERROR(AY17-AW17,"n.a.")</f>
        <v>-18.450418363081553</v>
      </c>
      <c r="AY17" s="23">
        <f>+'Adj. EBIT bridge - FY'!I17</f>
        <v>-63.44190942423711</v>
      </c>
      <c r="AZ17" s="23">
        <v>-21.29</v>
      </c>
      <c r="BA17" s="49">
        <f>IFERROR(BB17-AZ17,"n.a.")</f>
        <v>-18.11</v>
      </c>
      <c r="BB17" s="23">
        <v>-39.4</v>
      </c>
      <c r="BC17" s="49">
        <f>IFERROR(BD17-BB17,"n.a.")</f>
        <v>-11.600000000000001</v>
      </c>
      <c r="BD17" s="23">
        <v>-51</v>
      </c>
      <c r="BE17" s="49">
        <f>IFERROR(BF17-BD17,"n.a.")</f>
        <v>-1.3855441053284707</v>
      </c>
      <c r="BF17" s="23">
        <v>-52.385544105328471</v>
      </c>
      <c r="BG17" s="193">
        <v>-13.538</v>
      </c>
      <c r="BH17" s="49">
        <f>IFERROR(BI17-BG17,"n.a.")</f>
        <v>-5.0620000000000012</v>
      </c>
      <c r="BI17" s="23">
        <v>-18.600000000000001</v>
      </c>
      <c r="BJ17" s="49">
        <f>IFERROR(BK17-BI17,"n.a.")</f>
        <v>-13.031858422122077</v>
      </c>
      <c r="BK17" s="23">
        <v>-31.631858422122079</v>
      </c>
      <c r="BL17" s="49">
        <f>IFERROR(BM17-BK17,"n.a.")</f>
        <v>-27.579725717755721</v>
      </c>
      <c r="BM17" s="23">
        <f>+'Adj. EBIT bridge - FY'!K17</f>
        <v>-59.2115841398778</v>
      </c>
      <c r="BN17" s="83"/>
    </row>
    <row r="18" spans="1:67" ht="13">
      <c r="C18" s="126"/>
      <c r="D18" s="137"/>
      <c r="E18" s="126"/>
      <c r="F18" s="137"/>
      <c r="G18" s="126"/>
      <c r="H18" s="137"/>
      <c r="I18" s="126"/>
      <c r="J18" s="126"/>
      <c r="K18" s="137"/>
      <c r="L18" s="126"/>
      <c r="M18" s="137"/>
      <c r="N18" s="126"/>
      <c r="O18" s="126"/>
      <c r="P18" s="126"/>
      <c r="Q18" s="126"/>
      <c r="R18" s="137"/>
      <c r="S18" s="126"/>
      <c r="T18" s="137"/>
      <c r="U18" s="126"/>
      <c r="V18" s="126"/>
      <c r="W18" s="126"/>
      <c r="X18" s="126"/>
      <c r="Y18" s="137"/>
      <c r="Z18" s="126"/>
      <c r="AA18" s="137"/>
      <c r="AB18" s="126"/>
      <c r="AC18" s="126"/>
      <c r="AD18" s="126"/>
      <c r="AE18" s="126"/>
      <c r="AF18" s="137"/>
      <c r="AG18" s="126"/>
      <c r="AH18" s="137"/>
      <c r="AI18" s="126"/>
      <c r="AJ18" s="126"/>
      <c r="AK18" s="126"/>
      <c r="AL18" s="126"/>
      <c r="AM18" s="137"/>
      <c r="AN18" s="126"/>
      <c r="AO18" s="137"/>
      <c r="AP18" s="126"/>
      <c r="AQ18" s="126"/>
      <c r="AR18" s="126"/>
      <c r="AS18" s="126"/>
      <c r="AT18" s="137"/>
      <c r="AU18" s="126"/>
      <c r="AV18" s="137"/>
      <c r="AW18" s="126"/>
      <c r="AX18" s="137"/>
      <c r="AY18" s="126"/>
      <c r="AZ18" s="126"/>
      <c r="BA18" s="137"/>
      <c r="BB18" s="126"/>
      <c r="BC18" s="137"/>
      <c r="BD18" s="126"/>
      <c r="BE18" s="137"/>
      <c r="BF18" s="126"/>
      <c r="BG18" s="194"/>
      <c r="BH18" s="137"/>
      <c r="BI18" s="126"/>
      <c r="BJ18" s="137"/>
      <c r="BK18" s="126"/>
      <c r="BL18" s="137"/>
      <c r="BM18" s="126"/>
      <c r="BN18" s="14"/>
    </row>
    <row r="19" spans="1:67" ht="12.5">
      <c r="A19" s="19" t="s">
        <v>29</v>
      </c>
      <c r="B19" s="11"/>
      <c r="C19" s="23">
        <v>-17.5</v>
      </c>
      <c r="D19" s="49">
        <f>IFERROR(E19-C19,"n.a.")</f>
        <v>-63.099999999999994</v>
      </c>
      <c r="E19" s="23">
        <v>-80.599999999999994</v>
      </c>
      <c r="F19" s="49">
        <f>IFERROR(G19-E19,"n.a.")</f>
        <v>-51</v>
      </c>
      <c r="G19" s="23">
        <v>-131.6</v>
      </c>
      <c r="H19" s="49">
        <f>IFERROR(I19-G19,"n.a.")</f>
        <v>-33.200000000000017</v>
      </c>
      <c r="I19" s="206">
        <f>'Adj. EBIT bridge - FY'!C19</f>
        <v>-164.8</v>
      </c>
      <c r="J19" s="23">
        <v>-13.8</v>
      </c>
      <c r="K19" s="49">
        <f>IFERROR(L19-J19,"n.a.")</f>
        <v>2.3000000000000007</v>
      </c>
      <c r="L19" s="23">
        <v>-11.5</v>
      </c>
      <c r="M19" s="49">
        <f>IFERROR(N19-L19,"n.a.")</f>
        <v>-12.7</v>
      </c>
      <c r="N19" s="23">
        <v>-24.2</v>
      </c>
      <c r="O19" s="49">
        <f>IFERROR(P19-N19,"n.a.")</f>
        <v>-27.8</v>
      </c>
      <c r="P19" s="206">
        <f>'Adj. EBIT bridge - FY'!D19</f>
        <v>-52</v>
      </c>
      <c r="Q19" s="23">
        <v>-27</v>
      </c>
      <c r="R19" s="49">
        <f>IFERROR(S19-Q19,"n.a.")</f>
        <v>-31.5</v>
      </c>
      <c r="S19" s="23">
        <v>-58.5</v>
      </c>
      <c r="T19" s="49">
        <f>IFERROR(U19-S19,"n.a.")</f>
        <v>-9.0999999999999943</v>
      </c>
      <c r="U19" s="23">
        <v>-67.599999999999994</v>
      </c>
      <c r="V19" s="49">
        <f>IFERROR(W19-U19,"n.a.")</f>
        <v>0.89999999999999147</v>
      </c>
      <c r="W19" s="206">
        <f>'Adj. EBIT bridge - FY'!E19</f>
        <v>-66.7</v>
      </c>
      <c r="X19" s="23">
        <v>-3.26</v>
      </c>
      <c r="Y19" s="49">
        <f>IFERROR(Z19-X19,"n.a.")</f>
        <v>-11.540000000000001</v>
      </c>
      <c r="Z19" s="23">
        <v>-14.8</v>
      </c>
      <c r="AA19" s="49">
        <f>IFERROR(AB19-Z19,"n.a.")</f>
        <v>-5</v>
      </c>
      <c r="AB19" s="23">
        <v>-19.8</v>
      </c>
      <c r="AC19" s="49">
        <f>IFERROR(AD19-AB19,"n.a.")</f>
        <v>-0.19999999999999929</v>
      </c>
      <c r="AD19" s="33">
        <f>'Adj. EBIT bridge - FY'!F19</f>
        <v>-20</v>
      </c>
      <c r="AE19" s="23">
        <v>-11.1</v>
      </c>
      <c r="AF19" s="49">
        <f>IFERROR(AG19-AE19,"n.a.")</f>
        <v>-27.6</v>
      </c>
      <c r="AG19" s="23">
        <v>-38.700000000000003</v>
      </c>
      <c r="AH19" s="49">
        <f>IFERROR(AI19-AG19,"n.a.")</f>
        <v>-75</v>
      </c>
      <c r="AI19" s="23">
        <v>-113.7</v>
      </c>
      <c r="AJ19" s="49">
        <f>IFERROR(AK19-AI19,"n.a.")</f>
        <v>-98.2</v>
      </c>
      <c r="AK19" s="33">
        <f>'Adj. EBIT bridge - FY'!G19</f>
        <v>-211.9</v>
      </c>
      <c r="AL19" s="23">
        <v>-119.9</v>
      </c>
      <c r="AM19" s="49">
        <f>IFERROR(AN19-AL19,"n.a.")</f>
        <v>-116.1</v>
      </c>
      <c r="AN19" s="23">
        <v>-236</v>
      </c>
      <c r="AO19" s="49">
        <f>IFERROR(AP19-AN19,"n.a.")</f>
        <v>-128.70339821067523</v>
      </c>
      <c r="AP19" s="23">
        <v>-364.70339821067523</v>
      </c>
      <c r="AQ19" s="49">
        <f>IFERROR(AR19-AP19,"n.a.")</f>
        <v>-126.75689536335085</v>
      </c>
      <c r="AR19" s="33">
        <f>'Adj. EBIT bridge - FY'!H19</f>
        <v>-491.46029357402608</v>
      </c>
      <c r="AS19" s="23">
        <v>-77.599999999999994</v>
      </c>
      <c r="AT19" s="49">
        <f>IFERROR(AU19-AS19,"n.a.")</f>
        <v>-21.580000000000013</v>
      </c>
      <c r="AU19" s="23">
        <v>-99.18</v>
      </c>
      <c r="AV19" s="49">
        <f>IFERROR(AW19-AU19,"n.a.")</f>
        <v>22.156475004448794</v>
      </c>
      <c r="AW19" s="23">
        <v>-77.023524995551213</v>
      </c>
      <c r="AX19" s="49">
        <f>IFERROR(AY19-AW19,"n.a.")</f>
        <v>61.213524995551197</v>
      </c>
      <c r="AY19" s="23">
        <f>+'Adj. EBIT bridge - FY'!I19</f>
        <v>-15.810000000000016</v>
      </c>
      <c r="AZ19" s="23">
        <v>29.44</v>
      </c>
      <c r="BA19" s="49">
        <f>IFERROR(BB19-AZ19,"n.a.")</f>
        <v>6.8599999999999959</v>
      </c>
      <c r="BB19" s="23">
        <v>36.299999999999997</v>
      </c>
      <c r="BC19" s="49">
        <f>IFERROR(BD19-BB19,"n.a.")</f>
        <v>-16.594045437617698</v>
      </c>
      <c r="BD19" s="23">
        <v>19.705954562382299</v>
      </c>
      <c r="BE19" s="49">
        <f>IFERROR(BF19-BD19,"n.a.")</f>
        <v>-43.421752806123919</v>
      </c>
      <c r="BF19" s="23">
        <v>-23.71579824374162</v>
      </c>
      <c r="BG19" s="193">
        <v>-22.2</v>
      </c>
      <c r="BH19" s="49">
        <f>IFERROR(BI19-BG19,"n.a.")</f>
        <v>-29.099999999999998</v>
      </c>
      <c r="BI19" s="23">
        <v>-51.3</v>
      </c>
      <c r="BJ19" s="49">
        <f>IFERROR(BK19-BI19,"n.a.")</f>
        <v>-5.2297519904995013</v>
      </c>
      <c r="BK19" s="23">
        <v>-56.529751990499499</v>
      </c>
      <c r="BL19" s="49">
        <f>IFERROR(BM19-BK19,"n.a.")</f>
        <v>0.67370340788834682</v>
      </c>
      <c r="BM19" s="23">
        <f>+'Adj. EBIT bridge - FY'!K19</f>
        <v>-55.856048582611152</v>
      </c>
      <c r="BN19" s="180"/>
      <c r="BO19" s="2" t="s">
        <v>343</v>
      </c>
    </row>
    <row r="20" spans="1:67" ht="12.5">
      <c r="C20" s="126"/>
      <c r="D20" s="137"/>
      <c r="E20" s="126"/>
      <c r="F20" s="137"/>
      <c r="G20" s="126"/>
      <c r="H20" s="137"/>
      <c r="I20" s="126"/>
      <c r="J20" s="126"/>
      <c r="K20" s="137"/>
      <c r="L20" s="126"/>
      <c r="M20" s="137"/>
      <c r="N20" s="126"/>
      <c r="O20" s="126"/>
      <c r="P20" s="126"/>
      <c r="Q20" s="126"/>
      <c r="R20" s="137"/>
      <c r="S20" s="126"/>
      <c r="T20" s="137"/>
      <c r="U20" s="126"/>
      <c r="V20" s="126"/>
      <c r="W20" s="126"/>
      <c r="X20" s="126"/>
      <c r="Y20" s="137"/>
      <c r="Z20" s="126"/>
      <c r="AA20" s="137"/>
      <c r="AB20" s="126"/>
      <c r="AC20" s="126"/>
      <c r="AD20" s="126"/>
      <c r="AE20" s="126"/>
      <c r="AF20" s="137"/>
      <c r="AG20" s="126"/>
      <c r="AH20" s="137"/>
      <c r="AI20" s="126"/>
      <c r="AJ20" s="126"/>
      <c r="AK20" s="126"/>
      <c r="AL20" s="126"/>
      <c r="AM20" s="137"/>
      <c r="AN20" s="126"/>
      <c r="AO20" s="137"/>
      <c r="AP20" s="126"/>
      <c r="AQ20" s="126"/>
      <c r="AR20" s="126"/>
      <c r="AS20" s="126"/>
      <c r="AT20" s="137"/>
      <c r="AU20" s="126"/>
      <c r="AV20" s="137"/>
      <c r="AW20" s="126"/>
      <c r="AX20" s="137"/>
      <c r="AY20" s="126"/>
      <c r="AZ20" s="126"/>
      <c r="BA20" s="137"/>
      <c r="BB20" s="126"/>
      <c r="BC20" s="137"/>
      <c r="BD20" s="126"/>
      <c r="BE20" s="137"/>
      <c r="BF20" s="126"/>
      <c r="BG20" s="194"/>
      <c r="BH20" s="137"/>
      <c r="BI20" s="126"/>
      <c r="BJ20" s="137"/>
      <c r="BK20" s="126"/>
      <c r="BL20" s="137"/>
      <c r="BM20" s="126"/>
      <c r="BN20" s="83"/>
    </row>
    <row r="21" spans="1:67" ht="12.5">
      <c r="A21" s="19" t="s">
        <v>31</v>
      </c>
      <c r="B21" s="11"/>
      <c r="C21" s="23">
        <v>-10.1</v>
      </c>
      <c r="D21" s="49">
        <f>IFERROR(E21-C21,"n.a.")</f>
        <v>-12.9</v>
      </c>
      <c r="E21" s="23">
        <v>-23</v>
      </c>
      <c r="F21" s="49">
        <f>IFERROR(G21-E21,"n.a.")</f>
        <v>-11.399999999999999</v>
      </c>
      <c r="G21" s="23">
        <v>-34.4</v>
      </c>
      <c r="H21" s="49">
        <f>IFERROR(I21-G21,"n.a.")</f>
        <v>-19.200000000000003</v>
      </c>
      <c r="I21" s="206">
        <f>'Adj. EBIT bridge - FY'!C21</f>
        <v>-53.6</v>
      </c>
      <c r="J21" s="23">
        <v>-11.4</v>
      </c>
      <c r="K21" s="49">
        <f>IFERROR(L21-J21,"n.a.")</f>
        <v>-11.9</v>
      </c>
      <c r="L21" s="23">
        <v>-23.3</v>
      </c>
      <c r="M21" s="49">
        <f>IFERROR(N21-L21,"n.a.")</f>
        <v>-14.099999999999998</v>
      </c>
      <c r="N21" s="23">
        <v>-37.4</v>
      </c>
      <c r="O21" s="49">
        <f>IFERROR(P21-N21,"n.a.")</f>
        <v>-10.899999999999999</v>
      </c>
      <c r="P21" s="206">
        <f>'Adj. EBIT bridge - FY'!D21</f>
        <v>-48.3</v>
      </c>
      <c r="Q21" s="23">
        <v>-14.9</v>
      </c>
      <c r="R21" s="49">
        <f>IFERROR(S21-Q21,"n.a.")</f>
        <v>-20</v>
      </c>
      <c r="S21" s="23">
        <v>-34.9</v>
      </c>
      <c r="T21" s="49">
        <f>IFERROR(U21-S21,"n.a.")</f>
        <v>-20</v>
      </c>
      <c r="U21" s="23">
        <v>-54.9</v>
      </c>
      <c r="V21" s="49">
        <f>IFERROR(W21-U21,"n.a.")</f>
        <v>-21.699999999999996</v>
      </c>
      <c r="W21" s="206">
        <f>'Adj. EBIT bridge - FY'!E21</f>
        <v>-76.599999999999994</v>
      </c>
      <c r="X21" s="23">
        <v>-15.2</v>
      </c>
      <c r="Y21" s="49">
        <f>IFERROR(Z21-X21,"n.a.")</f>
        <v>-7.6000000000000014</v>
      </c>
      <c r="Z21" s="23">
        <v>-22.8</v>
      </c>
      <c r="AA21" s="49">
        <f>IFERROR(AB21-Z21,"n.a.")</f>
        <v>-13.499999999999996</v>
      </c>
      <c r="AB21" s="23">
        <v>-36.299999999999997</v>
      </c>
      <c r="AC21" s="49">
        <f>IFERROR(AD21-AB21,"n.a.")</f>
        <v>-13.700000000000003</v>
      </c>
      <c r="AD21" s="33">
        <f>'Adj. EBIT bridge - FY'!F21</f>
        <v>-50</v>
      </c>
      <c r="AE21" s="23">
        <v>-10.8</v>
      </c>
      <c r="AF21" s="49">
        <f>IFERROR(AG21-AE21,"n.a.")</f>
        <v>-21.2</v>
      </c>
      <c r="AG21" s="151">
        <v>-32</v>
      </c>
      <c r="AH21" s="49">
        <f>IFERROR(AI21-AG21,"n.a.")</f>
        <v>-18.600000000000001</v>
      </c>
      <c r="AI21" s="23">
        <v>-50.6</v>
      </c>
      <c r="AJ21" s="49">
        <f>IFERROR(AK21-AI21,"n.a.")</f>
        <v>-34.4</v>
      </c>
      <c r="AK21" s="33">
        <f>'Adj. EBIT bridge - FY'!G21</f>
        <v>-85</v>
      </c>
      <c r="AL21" s="23">
        <v>-53.3</v>
      </c>
      <c r="AM21" s="49">
        <f>IFERROR(AN21-AL21,"n.a.")</f>
        <v>-87.570000000000007</v>
      </c>
      <c r="AN21" s="23">
        <v>-140.87</v>
      </c>
      <c r="AO21" s="49">
        <f>IFERROR(AP21-AN21,"n.a.")</f>
        <v>-85.807293636083728</v>
      </c>
      <c r="AP21" s="23">
        <v>-226.67729363608373</v>
      </c>
      <c r="AQ21" s="49">
        <f>IFERROR(AR21-AP21+0.1,"n.a.")</f>
        <v>-100.66270636391627</v>
      </c>
      <c r="AR21" s="33">
        <f>'Adj. EBIT bridge - FY'!H21</f>
        <v>-327.44</v>
      </c>
      <c r="AS21" s="23">
        <v>-68.599999999999994</v>
      </c>
      <c r="AT21" s="49">
        <f>IFERROR(AU21-AS21,"n.a.")</f>
        <v>-62.230000000000018</v>
      </c>
      <c r="AU21" s="23">
        <v>-130.83000000000001</v>
      </c>
      <c r="AV21" s="49">
        <f>IFERROR(AW21-AU21,"n.a.")</f>
        <v>-49.115385892533681</v>
      </c>
      <c r="AW21" s="23">
        <v>-179.94538589253369</v>
      </c>
      <c r="AX21" s="49">
        <f>IFERROR(AY21-AW21,"n.a.")</f>
        <v>-50.082869763981194</v>
      </c>
      <c r="AY21" s="23">
        <f>+'Adj. EBIT bridge - FY'!I21</f>
        <v>-230.02825565651489</v>
      </c>
      <c r="AZ21" s="23">
        <v>-29.07</v>
      </c>
      <c r="BA21" s="49">
        <f>IFERROR(BB21-AZ21,"n.a.")</f>
        <v>-39.190000000000005</v>
      </c>
      <c r="BB21" s="23">
        <v>-68.260000000000005</v>
      </c>
      <c r="BC21" s="49">
        <f>IFERROR(BD21-BB21,"n.a.")</f>
        <v>-40.910404089402675</v>
      </c>
      <c r="BD21" s="23">
        <v>-109.17040408940268</v>
      </c>
      <c r="BE21" s="49">
        <f>IFERROR(BF21-BD21,"n.a.")</f>
        <v>-33.319595910597329</v>
      </c>
      <c r="BF21" s="23">
        <v>-142.49</v>
      </c>
      <c r="BG21" s="193">
        <v>-24.472999999999999</v>
      </c>
      <c r="BH21" s="49">
        <f>IFERROR(BI21-BG21,"n.a.")</f>
        <v>-37.627000000000002</v>
      </c>
      <c r="BI21" s="23">
        <v>-62.1</v>
      </c>
      <c r="BJ21" s="49">
        <f>IFERROR(BK21-BI21,"n.a.")</f>
        <v>-30.609027401832797</v>
      </c>
      <c r="BK21" s="23">
        <v>-92.709027401832799</v>
      </c>
      <c r="BL21" s="49">
        <f>IFERROR(BM21-BK21,"n.a.")</f>
        <v>-27.790972598167201</v>
      </c>
      <c r="BM21" s="23">
        <f>+'Adj. EBIT bridge - FY'!K21</f>
        <v>-120.5</v>
      </c>
      <c r="BN21" s="83"/>
    </row>
    <row r="22" spans="1:67" ht="12.5">
      <c r="C22" s="126"/>
      <c r="D22" s="137"/>
      <c r="E22" s="126"/>
      <c r="F22" s="137"/>
      <c r="G22" s="126"/>
      <c r="H22" s="137"/>
      <c r="I22" s="126"/>
      <c r="J22" s="126"/>
      <c r="K22" s="137"/>
      <c r="L22" s="126"/>
      <c r="M22" s="137"/>
      <c r="N22" s="126"/>
      <c r="O22" s="126"/>
      <c r="P22" s="126"/>
      <c r="Q22" s="126"/>
      <c r="R22" s="137"/>
      <c r="S22" s="126"/>
      <c r="T22" s="137"/>
      <c r="U22" s="126"/>
      <c r="V22" s="126"/>
      <c r="W22" s="126"/>
      <c r="X22" s="126"/>
      <c r="Y22" s="137"/>
      <c r="Z22" s="126"/>
      <c r="AA22" s="137"/>
      <c r="AB22" s="126"/>
      <c r="AC22" s="126"/>
      <c r="AD22" s="126"/>
      <c r="AE22" s="126"/>
      <c r="AF22" s="137"/>
      <c r="AG22" s="126"/>
      <c r="AH22" s="137"/>
      <c r="AI22" s="126"/>
      <c r="AJ22" s="126"/>
      <c r="AK22" s="126"/>
      <c r="AL22" s="126"/>
      <c r="AM22" s="137"/>
      <c r="AN22" s="126"/>
      <c r="AO22" s="137"/>
      <c r="AP22" s="126"/>
      <c r="AQ22" s="126"/>
      <c r="AR22" s="126"/>
      <c r="AS22" s="126"/>
      <c r="AT22" s="137"/>
      <c r="AU22" s="126"/>
      <c r="AV22" s="137"/>
      <c r="AW22" s="126"/>
      <c r="AX22" s="137"/>
      <c r="AY22" s="126"/>
      <c r="AZ22" s="126"/>
      <c r="BA22" s="137"/>
      <c r="BB22" s="126"/>
      <c r="BC22" s="137"/>
      <c r="BD22" s="126"/>
      <c r="BE22" s="137"/>
      <c r="BF22" s="126"/>
      <c r="BG22" s="194"/>
      <c r="BH22" s="137"/>
      <c r="BI22" s="126"/>
      <c r="BJ22" s="137"/>
      <c r="BK22" s="126"/>
      <c r="BL22" s="137"/>
      <c r="BM22" s="126"/>
      <c r="BN22" s="83"/>
    </row>
    <row r="23" spans="1:67" ht="12.5">
      <c r="A23" s="19" t="s">
        <v>32</v>
      </c>
      <c r="B23" s="11"/>
      <c r="C23" s="23">
        <v>3.7</v>
      </c>
      <c r="D23" s="49">
        <f>IFERROR(E23-C23,"n.a.")</f>
        <v>-1.9000000000000001</v>
      </c>
      <c r="E23" s="23">
        <v>1.8</v>
      </c>
      <c r="F23" s="49">
        <f>IFERROR(G23-E23,"n.a.")</f>
        <v>0.30000000000000004</v>
      </c>
      <c r="G23" s="23">
        <v>2.1</v>
      </c>
      <c r="H23" s="49">
        <f>IFERROR(I23-G23,"n.a.")</f>
        <v>-8.8000000000000007</v>
      </c>
      <c r="I23" s="206">
        <f>'Adj. EBIT bridge - FY'!C23</f>
        <v>-6.7</v>
      </c>
      <c r="J23" s="23">
        <v>-7.2</v>
      </c>
      <c r="K23" s="49">
        <f>IFERROR(L23-J23,"n.a.")</f>
        <v>-9.6999999999999993</v>
      </c>
      <c r="L23" s="23">
        <v>-16.899999999999999</v>
      </c>
      <c r="M23" s="49">
        <f>IFERROR(N23-L23,"n.a.")</f>
        <v>-11.5</v>
      </c>
      <c r="N23" s="23">
        <v>-28.4</v>
      </c>
      <c r="O23" s="49">
        <f>IFERROR(P23-N23,"n.a.")</f>
        <v>-14.978778255913291</v>
      </c>
      <c r="P23" s="206">
        <f>'Adj. EBIT bridge - FY'!D23</f>
        <v>-43.378778255913289</v>
      </c>
      <c r="Q23" s="23">
        <v>-2.1</v>
      </c>
      <c r="R23" s="49">
        <f>IFERROR(S23-Q23,"n.a.")</f>
        <v>-2.6</v>
      </c>
      <c r="S23" s="23">
        <v>-4.7</v>
      </c>
      <c r="T23" s="49">
        <f>IFERROR(U23-S23,"n.a.")</f>
        <v>6.1</v>
      </c>
      <c r="U23" s="23">
        <v>1.4</v>
      </c>
      <c r="V23" s="49">
        <f>IFERROR(W23-U23,"n.a.")</f>
        <v>0.40000000000000013</v>
      </c>
      <c r="W23" s="206">
        <f>'Adj. EBIT bridge - FY'!E23</f>
        <v>1.8</v>
      </c>
      <c r="X23" s="23">
        <v>-1.2</v>
      </c>
      <c r="Y23" s="49">
        <f>IFERROR(Z23-X23,"n.a.")</f>
        <v>-15.3</v>
      </c>
      <c r="Z23" s="23">
        <v>-16.5</v>
      </c>
      <c r="AA23" s="49">
        <f>IFERROR(AB23-Z23,"n.a.")</f>
        <v>-18.399999999999999</v>
      </c>
      <c r="AB23" s="23">
        <v>-34.9</v>
      </c>
      <c r="AC23" s="49">
        <f>IFERROR(AD23-AB23,"n.a.")</f>
        <v>-25.200000000000003</v>
      </c>
      <c r="AD23" s="33">
        <f>'Adj. EBIT bridge - FY'!F23</f>
        <v>-60.1</v>
      </c>
      <c r="AE23" s="23">
        <v>-11</v>
      </c>
      <c r="AF23" s="49">
        <f>IFERROR(AG23-AE23,"n.a.")</f>
        <v>-1.6999999999999993</v>
      </c>
      <c r="AG23" s="23">
        <v>-12.7</v>
      </c>
      <c r="AH23" s="49">
        <f>IFERROR(AI23-AG23,"n.a.")</f>
        <v>-5.1000000000000014</v>
      </c>
      <c r="AI23" s="23">
        <v>-17.8</v>
      </c>
      <c r="AJ23" s="49">
        <f>IFERROR(AK23-AI23,"n.a.")</f>
        <v>6.3000000000000007</v>
      </c>
      <c r="AK23" s="33">
        <f>'Adj. EBIT bridge - FY'!G23</f>
        <v>-11.5</v>
      </c>
      <c r="AL23" s="23">
        <v>6.02</v>
      </c>
      <c r="AM23" s="49">
        <f>IFERROR(AN23-AL23,"n.a.")</f>
        <v>9.4500000000000011</v>
      </c>
      <c r="AN23" s="23">
        <v>15.47</v>
      </c>
      <c r="AO23" s="49">
        <f>IFERROR(AP23-AN23,"n.a.")</f>
        <v>12.230477145522388</v>
      </c>
      <c r="AP23" s="23">
        <v>27.700477145522388</v>
      </c>
      <c r="AQ23" s="49">
        <f>IFERROR(AR23-AP23,"n.a.")</f>
        <v>2.9995228544776111</v>
      </c>
      <c r="AR23" s="33">
        <f>'Adj. EBIT bridge - FY'!H23</f>
        <v>30.7</v>
      </c>
      <c r="AS23" s="23">
        <v>-15.4</v>
      </c>
      <c r="AT23" s="49">
        <f>IFERROR(AU23-AS23,"n.a.")</f>
        <v>-35.71</v>
      </c>
      <c r="AU23" s="23">
        <v>-51.11</v>
      </c>
      <c r="AV23" s="49">
        <f>IFERROR(AW23-AU23,"n.a.")</f>
        <v>-63.373453594833606</v>
      </c>
      <c r="AW23" s="23">
        <v>-114.48345359483361</v>
      </c>
      <c r="AX23" s="49">
        <f>IFERROR(AY23-AW23,"n.a.")</f>
        <v>-79.040049033008444</v>
      </c>
      <c r="AY23" s="23">
        <f>+'Adj. EBIT bridge - FY'!I23</f>
        <v>-193.52350262784205</v>
      </c>
      <c r="AZ23" s="23">
        <v>-38.590000000000003</v>
      </c>
      <c r="BA23" s="49">
        <f>IFERROR(BB23-AZ23,"n.a.")</f>
        <v>-23.709999999999994</v>
      </c>
      <c r="BB23" s="23">
        <v>-62.3</v>
      </c>
      <c r="BC23" s="49">
        <f>IFERROR(BD23-BB23,"n.a.")</f>
        <v>-8.2224930926134192</v>
      </c>
      <c r="BD23" s="23">
        <v>-70.522493092613416</v>
      </c>
      <c r="BE23" s="49">
        <f>IFERROR(BF23-BD23,"n.a.")</f>
        <v>45.922493092613415</v>
      </c>
      <c r="BF23" s="23">
        <v>-24.6</v>
      </c>
      <c r="BG23" s="193">
        <v>4.4000000000000004</v>
      </c>
      <c r="BH23" s="49">
        <f>IFERROR(BI23-BG23,"n.a.")</f>
        <v>-23</v>
      </c>
      <c r="BI23" s="23">
        <v>-18.600000000000001</v>
      </c>
      <c r="BJ23" s="49">
        <f>IFERROR(BK23-BI23,"n.a.")</f>
        <v>-34.595773887003432</v>
      </c>
      <c r="BK23" s="23">
        <v>-53.195773887003433</v>
      </c>
      <c r="BL23" s="49">
        <f>IFERROR(BM23-BK23,"n.a.")</f>
        <v>-32.06692275135088</v>
      </c>
      <c r="BM23" s="23">
        <f>+'Adj. EBIT bridge - FY'!K23</f>
        <v>-85.262696638354313</v>
      </c>
      <c r="BN23" s="83"/>
    </row>
    <row r="24" spans="1:67" ht="12.5">
      <c r="C24" s="22"/>
      <c r="D24" s="136"/>
      <c r="E24" s="22"/>
      <c r="F24" s="136"/>
      <c r="G24" s="22"/>
      <c r="H24" s="136"/>
      <c r="I24" s="22"/>
      <c r="J24" s="22"/>
      <c r="K24" s="136"/>
      <c r="L24" s="22"/>
      <c r="M24" s="22"/>
      <c r="N24" s="22"/>
      <c r="O24" s="22"/>
      <c r="P24" s="22"/>
      <c r="Q24" s="22"/>
      <c r="R24" s="136"/>
      <c r="S24" s="22"/>
      <c r="T24" s="22"/>
      <c r="U24" s="22"/>
      <c r="V24" s="22"/>
      <c r="W24" s="22"/>
      <c r="X24" s="22"/>
      <c r="Y24" s="136"/>
      <c r="Z24" s="22"/>
      <c r="AA24" s="22"/>
      <c r="AB24" s="22"/>
      <c r="AC24" s="22"/>
      <c r="AD24" s="22"/>
      <c r="AE24" s="22"/>
      <c r="AF24" s="136"/>
      <c r="AG24" s="22"/>
      <c r="AH24" s="22"/>
      <c r="AI24" s="22"/>
      <c r="AJ24" s="22"/>
      <c r="AK24" s="22"/>
      <c r="AL24" s="22"/>
      <c r="AM24" s="136"/>
      <c r="AN24" s="22"/>
      <c r="AO24" s="22"/>
      <c r="AP24" s="22"/>
      <c r="AQ24" s="22"/>
      <c r="AR24" s="22"/>
      <c r="AS24" s="22"/>
      <c r="AT24" s="136"/>
      <c r="AU24" s="22"/>
      <c r="AV24" s="136"/>
      <c r="AW24" s="22"/>
      <c r="AX24" s="136"/>
      <c r="AY24" s="22"/>
      <c r="AZ24" s="22"/>
      <c r="BA24" s="136"/>
      <c r="BB24" s="22"/>
      <c r="BC24" s="136"/>
      <c r="BD24" s="22"/>
      <c r="BE24" s="136"/>
      <c r="BF24" s="22"/>
      <c r="BG24" s="192"/>
      <c r="BH24" s="136"/>
      <c r="BI24" s="22"/>
      <c r="BJ24" s="136"/>
      <c r="BK24" s="22"/>
      <c r="BL24" s="136"/>
      <c r="BM24" s="22"/>
      <c r="BN24" s="83"/>
    </row>
    <row r="25" spans="1:67" ht="13">
      <c r="A25" s="219" t="s">
        <v>291</v>
      </c>
      <c r="B25" s="220"/>
      <c r="C25" s="221">
        <f t="shared" ref="C25:J25" si="0">IFERROR(C7+C9+C11+C13+C15+C17+C19+C21+C23,"n.a.")</f>
        <v>205</v>
      </c>
      <c r="D25" s="221">
        <f t="shared" si="0"/>
        <v>211.19999999999996</v>
      </c>
      <c r="E25" s="221">
        <f t="shared" si="0"/>
        <v>416.2</v>
      </c>
      <c r="F25" s="221">
        <f t="shared" si="0"/>
        <v>238.19999999999996</v>
      </c>
      <c r="G25" s="221">
        <f t="shared" si="0"/>
        <v>654.4</v>
      </c>
      <c r="H25" s="221">
        <f t="shared" si="0"/>
        <v>222.02300000000008</v>
      </c>
      <c r="I25" s="221">
        <f t="shared" si="0"/>
        <v>876.42299999999989</v>
      </c>
      <c r="J25" s="221">
        <f t="shared" si="0"/>
        <v>218.39999999999998</v>
      </c>
      <c r="K25" s="221">
        <f>IFERROR(K7+K9+K11+K13+K15+K17+K19+K21+K23,"n.a.")</f>
        <v>231.7</v>
      </c>
      <c r="L25" s="221">
        <f t="shared" ref="L25:S25" si="1">IFERROR(L7+L9+L11+L13+L15+L17+L19+L21+L23,"n.a.")</f>
        <v>450.09999999999991</v>
      </c>
      <c r="M25" s="221">
        <f t="shared" si="1"/>
        <v>250.00000000000011</v>
      </c>
      <c r="N25" s="221">
        <f t="shared" si="1"/>
        <v>700.1</v>
      </c>
      <c r="O25" s="221">
        <f t="shared" si="1"/>
        <v>254.92122174408669</v>
      </c>
      <c r="P25" s="221">
        <f t="shared" si="1"/>
        <v>955.02122174408657</v>
      </c>
      <c r="Q25" s="221">
        <f t="shared" si="1"/>
        <v>219.19999999999993</v>
      </c>
      <c r="R25" s="221">
        <f t="shared" si="1"/>
        <v>221.30000000000004</v>
      </c>
      <c r="S25" s="221">
        <f t="shared" si="1"/>
        <v>440.50000000000006</v>
      </c>
      <c r="T25" s="221">
        <f t="shared" ref="T25:AB25" si="2">IFERROR(T7+T9+T11+T13+T15+T17+T19+T21+T23,"n.a.")</f>
        <v>244.49999999999997</v>
      </c>
      <c r="U25" s="221">
        <f t="shared" si="2"/>
        <v>685.00000000000011</v>
      </c>
      <c r="V25" s="221">
        <f t="shared" si="2"/>
        <v>232.30000000000004</v>
      </c>
      <c r="W25" s="221">
        <f t="shared" si="2"/>
        <v>917.30000000000007</v>
      </c>
      <c r="X25" s="221">
        <f t="shared" si="2"/>
        <v>141.06300000000002</v>
      </c>
      <c r="Y25" s="221">
        <f t="shared" si="2"/>
        <v>-74.363000000000056</v>
      </c>
      <c r="Z25" s="221">
        <f t="shared" si="2"/>
        <v>66.699999999999974</v>
      </c>
      <c r="AA25" s="221">
        <f t="shared" si="2"/>
        <v>213.7</v>
      </c>
      <c r="AB25" s="221">
        <f t="shared" si="2"/>
        <v>280.39999999999998</v>
      </c>
      <c r="AC25" s="221">
        <f>IFERROR(AC7+AC9+AC11+AC13+AC15+AC17+AC19+AC21+AC23-0.1,"n.a.")</f>
        <v>220.75000000000009</v>
      </c>
      <c r="AD25" s="221">
        <f>IFERROR(AD7+AD9+AD11+AD13+AD15+AD17+AD19+AD21+AD23,"n.a.")</f>
        <v>501.25</v>
      </c>
      <c r="AE25" s="221">
        <f>IFERROR(AE7+AE9+AE11+AE13+AE15+AE17+AE19+AE21+AE23,"n.a.")</f>
        <v>168.76999999999998</v>
      </c>
      <c r="AF25" s="221">
        <f>IFERROR(AF7+AF9+AF11+AF13+AF15+AF17+AF19+AF21+AF23,"n.a.")</f>
        <v>208.56200000000004</v>
      </c>
      <c r="AG25" s="221">
        <f>IFERROR(AG7+AG9+AG11+AG13+AG15+AG17+AG19+AG21+AG23,"n.a.")</f>
        <v>377.33200000000011</v>
      </c>
      <c r="AH25" s="221">
        <f>IFERROR(AH7+AH9+AH11+AH13+AH15+AH17+AH19+AH21+AH23-0.1,"n.a.")</f>
        <v>221.37999999999997</v>
      </c>
      <c r="AI25" s="221">
        <f>IFERROR(AI7+AI9+AI11+AI13+AI15+AI17+AI19+AI21+AI23,"n.a.")</f>
        <v>598.81200000000001</v>
      </c>
      <c r="AJ25" s="221">
        <f>IFERROR(AJ7+AJ9+AJ11+AJ13+AJ15+AJ17+AJ19+AJ21+AJ23,"n.a.")</f>
        <v>216.96800000000005</v>
      </c>
      <c r="AK25" s="221">
        <f>IFERROR(AK7+AK9+AK11+AK13+AK15+AK17+AK19+AK21+AK23,"n.a.")</f>
        <v>815.77999999999986</v>
      </c>
      <c r="AL25" s="221">
        <f>IFERROR(AL7+AL9+AL11+AL13+AL15+AL17+AL19+AL21+AL23,"n.a.")</f>
        <v>228.47099999999998</v>
      </c>
      <c r="AM25" s="221">
        <f>IFERROR(AM7+AM9+AM11+AM13+AM15+AM17+AM19+AM21+AM23-0.01,"n.a.")</f>
        <v>253.08399999999995</v>
      </c>
      <c r="AN25" s="221">
        <f>IFERROR(AN7+AN9+AN11+AN13+AN15+AN17+AN19+AN21+AN23+0.03,"n.a.")</f>
        <v>481.56200000000013</v>
      </c>
      <c r="AO25" s="221">
        <f>IFERROR(AO7+AO9+AO11+AO13+AO15+AO17+AO19+AO21+AO23,"n.a.")</f>
        <v>271.89410111346763</v>
      </c>
      <c r="AP25" s="221">
        <f>IFERROR(AP7+AP9+AP11+AP13+AP15+AP17+AP19+AP21+AP23,"n.a.")</f>
        <v>753.45910111346757</v>
      </c>
      <c r="AQ25" s="221">
        <f>IFERROR(AQ7+AQ9+AQ11+AQ13+AQ15+AQ17+AQ19+AQ21+AQ23,"n.a.")</f>
        <v>224.32160531250625</v>
      </c>
      <c r="AR25" s="221">
        <f>IFERROR(AR7+AR9+AR11+AR13+AR15+AR17+AR19+AR21+AR23,"n.a.")</f>
        <v>977.7807064259739</v>
      </c>
      <c r="AS25" s="221">
        <f>IFERROR(AS7+AS9+AS11+AS13+AS15+AS17+AS19+AS21+AS23,"n.a.")</f>
        <v>248.08300000000006</v>
      </c>
      <c r="AT25" s="221">
        <f>IFERROR(AT7+AT9+AT11+AT13+AT15+AT17+AT19+AT21+AT23-0.01,"n.a.")</f>
        <v>269.29599999999999</v>
      </c>
      <c r="AU25" s="221">
        <f>IFERROR(AU7+AU9+AU11+AU13+AU15+AU17+AU19+AU21+AU23+0.03,"n.a.")</f>
        <v>517.41899999999987</v>
      </c>
      <c r="AV25" s="221">
        <f>IFERROR(AV7+AV9+AV11+AV13+AV15+AV17+AV19+AV21+AV23+0.03,"n.a.")</f>
        <v>265.13523725147303</v>
      </c>
      <c r="AW25" s="221">
        <f>IFERROR(AW7+AW9+AW11+AW13+AW15+AW17+AW19+AW21+AW23+0.03,"n.a.")</f>
        <v>782.52423725147298</v>
      </c>
      <c r="AX25" s="221">
        <f>IFERROR(AX7+AX9+AX11+AX13+AX15+AX17+AX19+AX21+AX23+0.03,"n.a.")</f>
        <v>219.31876274852704</v>
      </c>
      <c r="AY25" s="221">
        <f>IFERROR(AY7+AY9+AY11+AY13+AY15+AY17+AY19+AY21+AY23,"n.a.")</f>
        <v>1001.783</v>
      </c>
      <c r="AZ25" s="221">
        <f>IFERROR(AZ7+AZ9+AZ11+AZ13+AZ15+AZ17+AZ19+AZ21+AZ23,"n.a.")</f>
        <v>262.58499999999992</v>
      </c>
      <c r="BA25" s="221">
        <f>IFERROR(BA7+BA9+BA11+BA13+BA15+BA17+BA19+BA21+BA23-0.01,"n.a.")</f>
        <v>276.51499999999999</v>
      </c>
      <c r="BB25" s="221">
        <f>IFERROR(BB7+BB9+BB11+BB13+BB15+BB17+BB19+BB21+BB23+0.03,"n.a.")</f>
        <v>539.14</v>
      </c>
      <c r="BC25" s="221">
        <f>IFERROR(BC7+BC9+BC11+BC13+BC15+BC17+BC19+BC21+BC23+0.03,"n.a.")</f>
        <v>276.84994210955421</v>
      </c>
      <c r="BD25" s="221">
        <f>IFERROR(BD7+BD9+BD11+BD13+BD15+BD17+BD19+BD21+BD23,"n.a.")</f>
        <v>815.92994210955419</v>
      </c>
      <c r="BE25" s="221">
        <f>IFERROR(BE7+BE9+BE11+BE13+BE15+BE17+BE19+BE21+BE23+0.03,"n.a.")</f>
        <v>244.56655944210578</v>
      </c>
      <c r="BF25" s="221">
        <f>IFERROR(BF7+BF9+BF11+BF13+BF15+BF17+BF19+BF21+BF23,"n.a.")</f>
        <v>1060.4665015516603</v>
      </c>
      <c r="BG25" s="221">
        <f>IFERROR(BG7+BG9+BG11+BG13+BG15+BG17+BG19+BG21+BG23,"n.a.")</f>
        <v>279.81356325297298</v>
      </c>
      <c r="BH25" s="221">
        <f>IFERROR(BH7+BH9+BH11+BH13+BH15+BH17+BH19+BH21+BH23,"n.a.")</f>
        <v>278.456436747027</v>
      </c>
      <c r="BI25" s="221">
        <f>IFERROR(BI7+BI9+BI11+BI13+BI15+BI17+BI19+BI21+BI23+0.03,"n.a.")</f>
        <v>558.30000000000007</v>
      </c>
      <c r="BJ25" s="221">
        <f>IFERROR(BJ7+BJ9+BJ11+BJ13+BJ15+BJ17+BJ19+BJ21+BJ23+0.03,"n.a.")</f>
        <v>277.19412227766514</v>
      </c>
      <c r="BK25" s="221">
        <f>IFERROR(BK7+BK9+BK11+BK13+BK15+BK17+BK19+BK21+BK23+0.03,"n.a.")</f>
        <v>835.46412227766518</v>
      </c>
      <c r="BL25" s="221">
        <f>IFERROR(BL7+BL9+BL11+BL13+BL15+BL17+BL19+BL21+BL23+0.03,"n.a.")</f>
        <v>246.01996569656021</v>
      </c>
      <c r="BM25" s="221">
        <f>IFERROR(BM7+BM9+BM11+BM13+BM15+BM17+BM19+BM21+BM23+0.03,"n.a.")</f>
        <v>1081.4540879742253</v>
      </c>
      <c r="BN25" s="83"/>
    </row>
    <row r="26" spans="1:67" ht="12.5">
      <c r="BN26" s="83"/>
    </row>
    <row r="27" spans="1:67" ht="12.5">
      <c r="BN27" s="83"/>
    </row>
    <row r="28" spans="1:67" ht="12.5">
      <c r="BN28" s="83"/>
    </row>
    <row r="29" spans="1:67" ht="12.5">
      <c r="BN29" s="83"/>
    </row>
    <row r="30" spans="1:67" ht="12.5">
      <c r="BN30" s="83"/>
    </row>
    <row r="31" spans="1:67" ht="12.5">
      <c r="BN31" s="83"/>
    </row>
    <row r="32" spans="1:67" ht="12.5">
      <c r="BN32" s="83"/>
    </row>
    <row r="33" spans="66:66" ht="12.5">
      <c r="BN33" s="83"/>
    </row>
    <row r="34" spans="66:66" ht="12.5">
      <c r="BN34" s="83"/>
    </row>
    <row r="35" spans="66:66" ht="12.5">
      <c r="BN35" s="83"/>
    </row>
    <row r="36" spans="66:66" ht="12.5">
      <c r="BN36" s="83"/>
    </row>
    <row r="37" spans="66:66" ht="13">
      <c r="BN37" s="14"/>
    </row>
    <row r="38" spans="66:66" ht="12.5">
      <c r="BN38" s="83"/>
    </row>
    <row r="39" spans="66:66" ht="12.5">
      <c r="BN39" s="83"/>
    </row>
    <row r="40" spans="66:66" ht="13">
      <c r="BN40" s="14"/>
    </row>
    <row r="41" spans="66:66" ht="12.5">
      <c r="BN41" s="83"/>
    </row>
    <row r="42" spans="66:66" ht="12.5">
      <c r="BN42" s="83"/>
    </row>
    <row r="43" spans="66:66" ht="12.5">
      <c r="BN43" s="83"/>
    </row>
    <row r="44" spans="66:66" ht="12.5">
      <c r="BN44" s="83"/>
    </row>
    <row r="45" spans="66:66" ht="12.5">
      <c r="BN45" s="83"/>
    </row>
    <row r="46" spans="66:66" ht="12.5">
      <c r="BN46" s="83"/>
    </row>
    <row r="47" spans="66:66" ht="12.5">
      <c r="BN47" s="83"/>
    </row>
    <row r="48" spans="66:66" ht="12.5">
      <c r="BN48" s="83"/>
    </row>
    <row r="49" spans="66:66" ht="12.5">
      <c r="BN49" s="83"/>
    </row>
    <row r="50" spans="66:66" ht="12.5">
      <c r="BN50" s="83"/>
    </row>
    <row r="51" spans="66:66" ht="12.5">
      <c r="BN51" s="83"/>
    </row>
    <row r="52" spans="66:66" ht="12.5">
      <c r="BN52" s="83"/>
    </row>
    <row r="53" spans="66:66" ht="12.5">
      <c r="BN53" s="83"/>
    </row>
    <row r="54" spans="66:66" ht="12.5">
      <c r="BN54" s="83"/>
    </row>
    <row r="55" spans="66:66" ht="12.5">
      <c r="BN55" s="83"/>
    </row>
    <row r="56" spans="66:66" ht="12.5">
      <c r="BN56" s="83"/>
    </row>
    <row r="57" spans="66:66" ht="12.5">
      <c r="BN57" s="83"/>
    </row>
    <row r="58" spans="66:66" ht="13">
      <c r="BN58" s="14"/>
    </row>
    <row r="59" spans="66:66" ht="12.5">
      <c r="BN59" s="83"/>
    </row>
    <row r="60" spans="66:66" ht="12.5">
      <c r="BN60" s="83"/>
    </row>
    <row r="61" spans="66:66" ht="12.5">
      <c r="BN61" s="83"/>
    </row>
    <row r="62" spans="66:66" ht="12.5">
      <c r="BN62" s="83"/>
    </row>
    <row r="63" spans="66:66" ht="12.5">
      <c r="BN63" s="83"/>
    </row>
    <row r="64" spans="66:66" ht="12.5">
      <c r="BN64" s="83"/>
    </row>
    <row r="65" spans="66:66" ht="12.5">
      <c r="BN65" s="83"/>
    </row>
    <row r="66" spans="66:66" ht="12.5">
      <c r="BN66" s="83"/>
    </row>
    <row r="67" spans="66:66" ht="12.5">
      <c r="BN67" s="83"/>
    </row>
    <row r="68" spans="66:66" ht="12.5">
      <c r="BN68" s="83"/>
    </row>
    <row r="69" spans="66:66" ht="12.5">
      <c r="BN69" s="83"/>
    </row>
    <row r="70" spans="66:66" ht="13">
      <c r="BN70" s="14"/>
    </row>
    <row r="71" spans="66:66" ht="12.5">
      <c r="BN71" s="83"/>
    </row>
    <row r="72" spans="66:66" ht="12.5">
      <c r="BN72" s="83"/>
    </row>
    <row r="73" spans="66:66" ht="12.5">
      <c r="BN73" s="83"/>
    </row>
    <row r="74" spans="66:66" ht="12.5">
      <c r="BN74" s="83"/>
    </row>
    <row r="75" spans="66:66" ht="12.5">
      <c r="BN75" s="130"/>
    </row>
    <row r="76" spans="66:66" ht="12.5">
      <c r="BN76" s="130"/>
    </row>
    <row r="77" spans="66:66" ht="12.5">
      <c r="BN77" s="130"/>
    </row>
    <row r="78" spans="66:66" ht="12.5">
      <c r="BN78" s="83"/>
    </row>
    <row r="79" spans="66:66" ht="12.5">
      <c r="BN79" s="83"/>
    </row>
    <row r="80" spans="66:66" ht="12.5">
      <c r="BN80" s="83"/>
    </row>
    <row r="81" spans="66:66" ht="12.5">
      <c r="BN81" s="83"/>
    </row>
    <row r="82" spans="66:66" ht="12.5">
      <c r="BN82" s="83"/>
    </row>
    <row r="83" spans="66:66" ht="12.5">
      <c r="BN83" s="83"/>
    </row>
    <row r="84" spans="66:66" ht="12.5">
      <c r="BN84" s="83"/>
    </row>
    <row r="85" spans="66:66" ht="12.5">
      <c r="BN85" s="83"/>
    </row>
    <row r="86" spans="66:66" ht="12.5">
      <c r="BN86" s="83"/>
    </row>
    <row r="87" spans="66:66" ht="12.5">
      <c r="BN87" s="83"/>
    </row>
    <row r="88" spans="66:66" ht="12.5">
      <c r="BN88" s="83"/>
    </row>
    <row r="89" spans="66:66" ht="12.5">
      <c r="BN89" s="83"/>
    </row>
    <row r="90" spans="66:66" ht="12.5">
      <c r="BN90" s="83"/>
    </row>
    <row r="91" spans="66:66" ht="12.5">
      <c r="BN91" s="83"/>
    </row>
    <row r="92" spans="66:66" ht="12.5">
      <c r="BN92" s="83"/>
    </row>
    <row r="93" spans="66:66" ht="13">
      <c r="BN93" s="14"/>
    </row>
    <row r="94" spans="66:66" ht="12.5">
      <c r="BN94" s="83"/>
    </row>
    <row r="95" spans="66:66" ht="12.5">
      <c r="BN95" s="83"/>
    </row>
    <row r="96" spans="66:66" ht="12.5">
      <c r="BN96" s="83"/>
    </row>
    <row r="97" spans="66:66" ht="12.5">
      <c r="BN97" s="83"/>
    </row>
    <row r="98" spans="66:66" ht="12.5">
      <c r="BN98" s="83"/>
    </row>
    <row r="99" spans="66:66" ht="12.5">
      <c r="BN99" s="83"/>
    </row>
    <row r="100" spans="66:66" ht="12.5">
      <c r="BN100" s="83"/>
    </row>
    <row r="101" spans="66:66" ht="12.5">
      <c r="BN101" s="83"/>
    </row>
    <row r="102" spans="66:66" ht="12.5">
      <c r="BN102" s="83"/>
    </row>
    <row r="103" spans="66:66" ht="12.5">
      <c r="BN103" s="83"/>
    </row>
    <row r="104" spans="66:66" ht="12.5">
      <c r="BN104" s="83"/>
    </row>
    <row r="105" spans="66:66" ht="13">
      <c r="BN105" s="14"/>
    </row>
    <row r="106" spans="66:66" ht="12.5">
      <c r="BN106" s="83"/>
    </row>
    <row r="107" spans="66:66" ht="13">
      <c r="BN107" s="14"/>
    </row>
    <row r="108" spans="66:66" ht="13">
      <c r="BN108" s="14"/>
    </row>
    <row r="109" spans="66:66" ht="12.5">
      <c r="BN109" s="83"/>
    </row>
    <row r="110" spans="66:66" ht="13">
      <c r="BN110" s="14"/>
    </row>
    <row r="111" spans="66:66" ht="12.5">
      <c r="BN111" s="83"/>
    </row>
    <row r="112" spans="66:66" ht="12.5">
      <c r="BN112" s="83"/>
    </row>
    <row r="113" spans="66:66" ht="12.5">
      <c r="BN113" s="83"/>
    </row>
    <row r="114" spans="66:66" ht="12.5">
      <c r="BN114" s="83"/>
    </row>
    <row r="115" spans="66:66" ht="12.5">
      <c r="BN115" s="83"/>
    </row>
    <row r="116" spans="66:66" ht="12.5">
      <c r="BN116" s="38"/>
    </row>
    <row r="117" spans="66:66" ht="12.5">
      <c r="BN117" s="83"/>
    </row>
    <row r="118" spans="66:66" ht="12.5">
      <c r="BN118" s="83"/>
    </row>
    <row r="119" spans="66:66" ht="12.5">
      <c r="BN119" s="83"/>
    </row>
    <row r="120" spans="66:66" ht="12.5">
      <c r="BN120" s="83"/>
    </row>
    <row r="121" spans="66:66" ht="12.5">
      <c r="BN121" s="83"/>
    </row>
    <row r="122" spans="66:66" ht="12.5">
      <c r="BN122" s="83"/>
    </row>
    <row r="123" spans="66:66" ht="12.5">
      <c r="BN123" s="83"/>
    </row>
    <row r="124" spans="66:66" ht="12.5">
      <c r="BN124" s="83"/>
    </row>
    <row r="125" spans="66:66" ht="12.5">
      <c r="BN125" s="83"/>
    </row>
    <row r="126" spans="66:66" ht="12.5">
      <c r="BN126" s="83"/>
    </row>
    <row r="127" spans="66:66" ht="12.5">
      <c r="BN127" s="83"/>
    </row>
    <row r="128" spans="66:66" ht="12.5">
      <c r="BN128" s="83"/>
    </row>
    <row r="129" spans="66:66" ht="12.5">
      <c r="BN129" s="83"/>
    </row>
    <row r="130" spans="66:66" ht="12.5">
      <c r="BN130" s="83"/>
    </row>
    <row r="131" spans="66:66" ht="12.5">
      <c r="BN131" s="83"/>
    </row>
    <row r="132" spans="66:66" ht="12.5">
      <c r="BN132" s="83"/>
    </row>
    <row r="133" spans="66:66" ht="12.5">
      <c r="BN133" s="83"/>
    </row>
    <row r="134" spans="66:66" ht="12.5">
      <c r="BN134" s="83"/>
    </row>
    <row r="135" spans="66:66" ht="12.5">
      <c r="BN135" s="83"/>
    </row>
    <row r="136" spans="66:66" ht="12.5">
      <c r="BN136" s="83"/>
    </row>
    <row r="137" spans="66:66" ht="12.5">
      <c r="BN137" s="83"/>
    </row>
    <row r="138" spans="66:66" ht="12.5">
      <c r="BN138" s="83"/>
    </row>
    <row r="139" spans="66:66" ht="12.5">
      <c r="BN139" s="83"/>
    </row>
    <row r="140" spans="66:66" ht="12.5">
      <c r="BN140" s="83"/>
    </row>
    <row r="141" spans="66:66" ht="12.5">
      <c r="BN141" s="83"/>
    </row>
  </sheetData>
  <pageMargins left="0" right="0" top="0" bottom="0" header="0" footer="0"/>
  <pageSetup paperSize="9" orientation="landscape" r:id="rId1"/>
  <ignoredErrors>
    <ignoredError sqref="E24:J24 E16:E23 I16:J23 G16:G23 S15 U15 L15 N15 AC25 AH25 BE25" formula="1"/>
  </ignoredError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N122"/>
  <sheetViews>
    <sheetView showGridLines="0" zoomScale="95" zoomScaleNormal="85" zoomScaleSheetLayoutView="100" workbookViewId="0">
      <pane xSplit="2" ySplit="6" topLeftCell="F7" activePane="bottomRight" state="frozen"/>
      <selection activeCell="AQ123" sqref="AQ123"/>
      <selection pane="topRight" activeCell="AQ123" sqref="AQ123"/>
      <selection pane="bottomLeft" activeCell="AQ123" sqref="AQ123"/>
      <selection pane="bottomRight"/>
    </sheetView>
  </sheetViews>
  <sheetFormatPr defaultColWidth="9" defaultRowHeight="12.5" outlineLevelRow="2" outlineLevelCol="1"/>
  <cols>
    <col min="1" max="1" width="60.58203125" style="2" customWidth="1"/>
    <col min="2" max="2" width="2.58203125" style="2" customWidth="1"/>
    <col min="3" max="4" width="12.58203125" style="20" hidden="1" customWidth="1" outlineLevel="1" collapsed="1"/>
    <col min="5" max="5" width="12.58203125" style="20" hidden="1" customWidth="1" outlineLevel="1"/>
    <col min="6" max="6" width="12.58203125" style="20" customWidth="1" collapsed="1"/>
    <col min="7" max="11" width="12.58203125" style="20" customWidth="1"/>
    <col min="12" max="16384" width="9" style="2"/>
  </cols>
  <sheetData>
    <row r="1" spans="1:11" s="7" customFormat="1" ht="27.75" customHeight="1">
      <c r="A1" s="7" t="s">
        <v>322</v>
      </c>
      <c r="C1" s="8"/>
      <c r="D1" s="8"/>
      <c r="E1" s="8"/>
      <c r="F1" s="8"/>
      <c r="G1" s="8"/>
      <c r="H1" s="8"/>
      <c r="I1" s="8"/>
      <c r="J1" s="8"/>
      <c r="K1" s="8"/>
    </row>
    <row r="2" spans="1:11">
      <c r="A2" s="158" t="s">
        <v>146</v>
      </c>
      <c r="B2" s="158"/>
      <c r="I2" s="2"/>
      <c r="J2" s="2"/>
      <c r="K2" s="2"/>
    </row>
    <row r="4" spans="1:11" ht="13.5" thickBot="1">
      <c r="A4" s="9" t="s">
        <v>96</v>
      </c>
      <c r="B4" s="9"/>
      <c r="C4" s="10" t="s">
        <v>130</v>
      </c>
      <c r="D4" s="10" t="s">
        <v>192</v>
      </c>
      <c r="E4" s="10" t="s">
        <v>222</v>
      </c>
      <c r="F4" s="10" t="s">
        <v>244</v>
      </c>
      <c r="G4" s="10" t="s">
        <v>286</v>
      </c>
      <c r="H4" s="10" t="s">
        <v>297</v>
      </c>
      <c r="I4" s="10" t="s">
        <v>305</v>
      </c>
      <c r="J4" s="10" t="s">
        <v>316</v>
      </c>
      <c r="K4" s="10" t="s">
        <v>351</v>
      </c>
    </row>
    <row r="5" spans="1:11">
      <c r="C5" s="20" t="s">
        <v>138</v>
      </c>
      <c r="D5" s="20" t="s">
        <v>138</v>
      </c>
      <c r="E5" s="20" t="s">
        <v>138</v>
      </c>
      <c r="F5" s="20" t="s">
        <v>138</v>
      </c>
      <c r="G5" s="20" t="s">
        <v>138</v>
      </c>
      <c r="H5" s="20" t="s">
        <v>138</v>
      </c>
      <c r="I5" s="20" t="s">
        <v>138</v>
      </c>
      <c r="J5" s="20" t="s">
        <v>138</v>
      </c>
      <c r="K5" s="20" t="s">
        <v>138</v>
      </c>
    </row>
    <row r="7" spans="1:11">
      <c r="A7" s="104" t="s">
        <v>154</v>
      </c>
      <c r="B7" s="17"/>
      <c r="C7" s="49">
        <f t="shared" ref="C7:H7" si="0">IFERROR(C76/C104,"n.a.")</f>
        <v>1.102454312795166</v>
      </c>
      <c r="D7" s="49">
        <f t="shared" si="0"/>
        <v>1.2199282774955671</v>
      </c>
      <c r="E7" s="49">
        <f t="shared" si="0"/>
        <v>1.0879781871025251</v>
      </c>
      <c r="F7" s="49">
        <f t="shared" si="0"/>
        <v>1.5775513412474029</v>
      </c>
      <c r="G7" s="49">
        <f t="shared" si="0"/>
        <v>1.1823526506289064</v>
      </c>
      <c r="H7" s="49">
        <f t="shared" si="0"/>
        <v>1.3231694140441788</v>
      </c>
      <c r="I7" s="49">
        <f t="shared" ref="I7:J7" si="1">IFERROR(I76/I104,"n.a.")</f>
        <v>1.1794231096596761</v>
      </c>
      <c r="J7" s="49">
        <f t="shared" si="1"/>
        <v>1.2760867530865867</v>
      </c>
      <c r="K7" s="49">
        <f t="shared" ref="K7" si="2">IFERROR(K76/K104,"n.a.")</f>
        <v>1.4485276883164155</v>
      </c>
    </row>
    <row r="8" spans="1:11">
      <c r="A8" s="105" t="s">
        <v>155</v>
      </c>
      <c r="B8" s="12"/>
      <c r="C8" s="51">
        <f t="shared" ref="C8:H8" si="3">IFERROR((C76-C64)/C104,"n.a.")</f>
        <v>0.77922558538449249</v>
      </c>
      <c r="D8" s="51">
        <f t="shared" si="3"/>
        <v>0.84452749972555152</v>
      </c>
      <c r="E8" s="51">
        <f t="shared" si="3"/>
        <v>0.78453466012923401</v>
      </c>
      <c r="F8" s="51">
        <f t="shared" si="3"/>
        <v>1.2695951645213654</v>
      </c>
      <c r="G8" s="51">
        <f t="shared" si="3"/>
        <v>0.88098253057611364</v>
      </c>
      <c r="H8" s="51">
        <f t="shared" si="3"/>
        <v>0.88702021786000196</v>
      </c>
      <c r="I8" s="51">
        <f t="shared" ref="I8:J8" si="4">IFERROR((I76-I64)/I104,"n.a.")</f>
        <v>0.77170598484400577</v>
      </c>
      <c r="J8" s="51">
        <f t="shared" si="4"/>
        <v>0.83670730715660946</v>
      </c>
      <c r="K8" s="51">
        <f t="shared" ref="K8" si="5">IFERROR((K76-K64)/K104,"n.a.")</f>
        <v>0.93859482709574282</v>
      </c>
    </row>
    <row r="9" spans="1:11">
      <c r="A9" s="133" t="s">
        <v>209</v>
      </c>
      <c r="B9" s="12"/>
      <c r="C9" s="48">
        <f t="shared" ref="C9:D9" si="6">C36</f>
        <v>3218.4949999999994</v>
      </c>
      <c r="D9" s="48">
        <f t="shared" si="6"/>
        <v>3180.1300000000006</v>
      </c>
      <c r="E9" s="48">
        <f t="shared" ref="E9:J9" si="7">E40</f>
        <v>3507.2249999999999</v>
      </c>
      <c r="F9" s="48">
        <f t="shared" si="7"/>
        <v>3258.375</v>
      </c>
      <c r="G9" s="48">
        <f t="shared" si="7"/>
        <v>2907.1159999999995</v>
      </c>
      <c r="H9" s="48">
        <f t="shared" si="7"/>
        <v>2552.6343339999999</v>
      </c>
      <c r="I9" s="48">
        <f t="shared" si="7"/>
        <v>2261.7275659999996</v>
      </c>
      <c r="J9" s="48">
        <f t="shared" si="7"/>
        <v>1925.7625419999999</v>
      </c>
      <c r="K9" s="48">
        <f t="shared" ref="K9" si="8">K40</f>
        <v>1102.0131759999999</v>
      </c>
    </row>
    <row r="12" spans="1:11" ht="13.5" thickBot="1">
      <c r="A12" s="9" t="s">
        <v>47</v>
      </c>
      <c r="B12" s="9"/>
      <c r="C12" s="10" t="str">
        <f t="shared" ref="C12:E13" si="9">C4</f>
        <v>FY 2017</v>
      </c>
      <c r="D12" s="10" t="str">
        <f t="shared" si="9"/>
        <v>FY 2018</v>
      </c>
      <c r="E12" s="10" t="str">
        <f t="shared" si="9"/>
        <v>FY 2019</v>
      </c>
      <c r="F12" s="10" t="str">
        <f t="shared" ref="F12:H13" si="10">F4</f>
        <v>FY 2020</v>
      </c>
      <c r="G12" s="10" t="str">
        <f t="shared" si="10"/>
        <v>FY 2021</v>
      </c>
      <c r="H12" s="10" t="str">
        <f t="shared" si="10"/>
        <v>FY 2022</v>
      </c>
      <c r="I12" s="10" t="str">
        <f t="shared" ref="I12:J12" si="11">I4</f>
        <v>FY 2023</v>
      </c>
      <c r="J12" s="10" t="str">
        <f t="shared" si="11"/>
        <v>FY 2024</v>
      </c>
      <c r="K12" s="10" t="str">
        <f t="shared" ref="K12" si="12">K4</f>
        <v>FY 2025</v>
      </c>
    </row>
    <row r="13" spans="1:11">
      <c r="C13" s="20" t="str">
        <f t="shared" si="9"/>
        <v>reported</v>
      </c>
      <c r="D13" s="20" t="str">
        <f t="shared" si="9"/>
        <v>reported</v>
      </c>
      <c r="E13" s="20" t="str">
        <f t="shared" si="9"/>
        <v>reported</v>
      </c>
      <c r="F13" s="20" t="str">
        <f t="shared" si="10"/>
        <v>reported</v>
      </c>
      <c r="G13" s="20" t="str">
        <f t="shared" si="10"/>
        <v>reported</v>
      </c>
      <c r="H13" s="20" t="str">
        <f t="shared" si="10"/>
        <v>reported</v>
      </c>
      <c r="I13" s="20" t="str">
        <f t="shared" ref="I13:J13" si="13">I5</f>
        <v>reported</v>
      </c>
      <c r="J13" s="20" t="str">
        <f t="shared" si="13"/>
        <v>reported</v>
      </c>
      <c r="K13" s="20" t="str">
        <f t="shared" ref="K13" si="14">K5</f>
        <v>reported</v>
      </c>
    </row>
    <row r="15" spans="1:11">
      <c r="A15" s="16" t="s">
        <v>203</v>
      </c>
      <c r="B15" s="16"/>
      <c r="C15" s="32">
        <f t="shared" ref="C15:D15" si="15">IFERROR(C21-C17,C21)</f>
        <v>9120.9969999999994</v>
      </c>
      <c r="D15" s="32">
        <f t="shared" si="15"/>
        <v>9017.7510000000002</v>
      </c>
      <c r="E15" s="32">
        <f t="shared" ref="E15:J15" si="16">IFERROR(E21-E17,E21)</f>
        <v>9007.1790000000001</v>
      </c>
      <c r="F15" s="32">
        <f t="shared" si="16"/>
        <v>8423.0959999999995</v>
      </c>
      <c r="G15" s="32">
        <f t="shared" si="16"/>
        <v>8447.223</v>
      </c>
      <c r="H15" s="32">
        <f t="shared" si="16"/>
        <v>8464.2633029999997</v>
      </c>
      <c r="I15" s="32">
        <f t="shared" si="16"/>
        <v>8371.5993970724576</v>
      </c>
      <c r="J15" s="32">
        <f t="shared" si="16"/>
        <v>8328.6236462110646</v>
      </c>
      <c r="K15" s="32">
        <f t="shared" ref="K15" si="17">IFERROR(K21-K17,K21)</f>
        <v>8180.6343740000002</v>
      </c>
    </row>
    <row r="16" spans="1:11" hidden="1" outlineLevel="2">
      <c r="A16" s="132" t="s">
        <v>207</v>
      </c>
      <c r="B16" s="41"/>
      <c r="C16" s="51">
        <f t="shared" ref="C16:D16" si="18">IFERROR(C18-C17,C18)</f>
        <v>2980.2939999999999</v>
      </c>
      <c r="D16" s="51">
        <f t="shared" si="18"/>
        <v>3092.9270000000001</v>
      </c>
      <c r="E16" s="51">
        <f t="shared" ref="E16:J16" si="19">IFERROR(E18-E17,E18)</f>
        <v>3187.1910000000003</v>
      </c>
      <c r="F16" s="51">
        <f t="shared" si="19"/>
        <v>2725.7549999999997</v>
      </c>
      <c r="G16" s="51">
        <f t="shared" si="19"/>
        <v>2823.7650000000003</v>
      </c>
      <c r="H16" s="51">
        <f t="shared" si="19"/>
        <v>2952.78</v>
      </c>
      <c r="I16" s="51">
        <f t="shared" si="19"/>
        <v>2968.5786900724593</v>
      </c>
      <c r="J16" s="51">
        <f t="shared" si="19"/>
        <v>2984.8111972110646</v>
      </c>
      <c r="K16" s="51">
        <f t="shared" ref="K16" si="20">IFERROR(K18-K17,K18)</f>
        <v>2953.8717040000001</v>
      </c>
    </row>
    <row r="17" spans="1:11" hidden="1" outlineLevel="2">
      <c r="A17" s="132" t="s">
        <v>202</v>
      </c>
      <c r="B17" s="41"/>
      <c r="C17" s="24" t="s">
        <v>164</v>
      </c>
      <c r="D17" s="24" t="s">
        <v>164</v>
      </c>
      <c r="E17" s="24">
        <v>462.61799999999999</v>
      </c>
      <c r="F17" s="24">
        <v>434.012</v>
      </c>
      <c r="G17" s="24">
        <v>465.149</v>
      </c>
      <c r="H17" s="24">
        <v>446.84800000000001</v>
      </c>
      <c r="I17" s="24">
        <v>440.53567992754103</v>
      </c>
      <c r="J17" s="24">
        <v>442.944540788935</v>
      </c>
      <c r="K17" s="24">
        <v>412.51299999999998</v>
      </c>
    </row>
    <row r="18" spans="1:11" hidden="1" outlineLevel="1">
      <c r="A18" s="115" t="s">
        <v>208</v>
      </c>
      <c r="B18" s="41"/>
      <c r="C18" s="33">
        <f t="shared" ref="C18:D19" si="21">C47</f>
        <v>2980.2939999999999</v>
      </c>
      <c r="D18" s="33">
        <f t="shared" si="21"/>
        <v>3092.9270000000001</v>
      </c>
      <c r="E18" s="33">
        <f t="shared" ref="E18:H19" si="22">E47</f>
        <v>3649.8090000000002</v>
      </c>
      <c r="F18" s="33">
        <f t="shared" si="22"/>
        <v>3159.7669999999998</v>
      </c>
      <c r="G18" s="33">
        <f t="shared" si="22"/>
        <v>3288.9140000000002</v>
      </c>
      <c r="H18" s="33">
        <f t="shared" si="22"/>
        <v>3399.6280000000002</v>
      </c>
      <c r="I18" s="33">
        <f t="shared" ref="I18:J18" si="23">I47</f>
        <v>3409.1143700000002</v>
      </c>
      <c r="J18" s="33">
        <f t="shared" si="23"/>
        <v>3427.7557379999998</v>
      </c>
      <c r="K18" s="33">
        <f t="shared" ref="K18" si="24">K47</f>
        <v>3366.3847040000001</v>
      </c>
    </row>
    <row r="19" spans="1:11" hidden="1" outlineLevel="1">
      <c r="A19" s="116" t="s">
        <v>1</v>
      </c>
      <c r="B19" s="40"/>
      <c r="C19" s="48">
        <f t="shared" si="21"/>
        <v>5893.7039999999997</v>
      </c>
      <c r="D19" s="48">
        <f t="shared" si="21"/>
        <v>5783.3379999999997</v>
      </c>
      <c r="E19" s="48">
        <f t="shared" si="22"/>
        <v>5680.1750000000002</v>
      </c>
      <c r="F19" s="48">
        <f t="shared" si="22"/>
        <v>5582.0330000000004</v>
      </c>
      <c r="G19" s="48">
        <f t="shared" si="22"/>
        <v>5485.665</v>
      </c>
      <c r="H19" s="48">
        <f t="shared" si="22"/>
        <v>5382.8370000000004</v>
      </c>
      <c r="I19" s="48">
        <f t="shared" ref="I19:J19" si="25">I48</f>
        <v>5263.7867079999996</v>
      </c>
      <c r="J19" s="48">
        <f t="shared" si="25"/>
        <v>5159.7290599999997</v>
      </c>
      <c r="K19" s="48">
        <f t="shared" ref="K19" si="26">K48</f>
        <v>5047.7663890000003</v>
      </c>
    </row>
    <row r="20" spans="1:11" hidden="1" outlineLevel="1">
      <c r="A20" s="116" t="s">
        <v>35</v>
      </c>
      <c r="B20" s="40"/>
      <c r="C20" s="51">
        <f t="shared" ref="C20:D20" si="27">IFERROR(C50+C51+C52+C53,"n.a.")</f>
        <v>246.999</v>
      </c>
      <c r="D20" s="51">
        <f t="shared" si="27"/>
        <v>141.48599999999999</v>
      </c>
      <c r="E20" s="51">
        <f t="shared" ref="E20:J20" si="28">IFERROR(E50+E51+E52+E53,"n.a.")</f>
        <v>139.81299999999999</v>
      </c>
      <c r="F20" s="51">
        <f t="shared" si="28"/>
        <v>115.30799999999999</v>
      </c>
      <c r="G20" s="51">
        <f t="shared" si="28"/>
        <v>137.79300000000001</v>
      </c>
      <c r="H20" s="51">
        <f t="shared" si="28"/>
        <v>128.64630299999999</v>
      </c>
      <c r="I20" s="51">
        <f t="shared" si="28"/>
        <v>139.23399899999998</v>
      </c>
      <c r="J20" s="51">
        <f t="shared" si="28"/>
        <v>184.08338900000001</v>
      </c>
      <c r="K20" s="51">
        <f t="shared" ref="K20" si="29">IFERROR(K50+K51+K52+K53,"n.a.")</f>
        <v>178.99628100000001</v>
      </c>
    </row>
    <row r="21" spans="1:11" collapsed="1">
      <c r="A21" s="16" t="s">
        <v>204</v>
      </c>
      <c r="B21" s="16"/>
      <c r="C21" s="32">
        <f t="shared" ref="C21:H21" si="30">IFERROR(C18+C19+C20,"n.a.")</f>
        <v>9120.9969999999994</v>
      </c>
      <c r="D21" s="32">
        <f t="shared" si="30"/>
        <v>9017.7510000000002</v>
      </c>
      <c r="E21" s="32">
        <f t="shared" si="30"/>
        <v>9469.7970000000005</v>
      </c>
      <c r="F21" s="32">
        <f t="shared" si="30"/>
        <v>8857.1080000000002</v>
      </c>
      <c r="G21" s="32">
        <f t="shared" si="30"/>
        <v>8912.3719999999994</v>
      </c>
      <c r="H21" s="32">
        <f t="shared" si="30"/>
        <v>8911.1113029999997</v>
      </c>
      <c r="I21" s="32">
        <f t="shared" ref="I21:J21" si="31">IFERROR(I18+I19+I20,"n.a.")</f>
        <v>8812.135076999999</v>
      </c>
      <c r="J21" s="32">
        <f t="shared" si="31"/>
        <v>8771.5681869999989</v>
      </c>
      <c r="K21" s="32">
        <f t="shared" ref="K21" si="32">IFERROR(K18+K19+K20,"n.a.")</f>
        <v>8593.1473740000001</v>
      </c>
    </row>
    <row r="22" spans="1:11" hidden="1" outlineLevel="2">
      <c r="A22" s="55" t="s">
        <v>37</v>
      </c>
      <c r="B22" s="55"/>
      <c r="C22" s="48">
        <f t="shared" ref="C22:C23" si="33">C64</f>
        <v>940.66800000000001</v>
      </c>
      <c r="D22" s="48">
        <f t="shared" ref="D22:H23" si="34">D64</f>
        <v>1128.4659999999999</v>
      </c>
      <c r="E22" s="48">
        <f t="shared" si="34"/>
        <v>1093.7539999999999</v>
      </c>
      <c r="F22" s="48">
        <f t="shared" si="34"/>
        <v>836.43700000000001</v>
      </c>
      <c r="G22" s="48">
        <f t="shared" si="34"/>
        <v>1092.162</v>
      </c>
      <c r="H22" s="48">
        <f t="shared" si="34"/>
        <v>1457.7108149999999</v>
      </c>
      <c r="I22" s="48">
        <f t="shared" ref="I22:J22" si="35">I64</f>
        <v>1371.4363840000001</v>
      </c>
      <c r="J22" s="48">
        <f t="shared" si="35"/>
        <v>1467.7068570000001</v>
      </c>
      <c r="K22" s="48">
        <f t="shared" ref="K22" si="36">K64</f>
        <v>1455.546118</v>
      </c>
    </row>
    <row r="23" spans="1:11" hidden="1" outlineLevel="2">
      <c r="A23" s="55" t="s">
        <v>38</v>
      </c>
      <c r="B23" s="55"/>
      <c r="C23" s="48">
        <f t="shared" si="33"/>
        <v>652.48699999999997</v>
      </c>
      <c r="D23" s="48">
        <f t="shared" si="34"/>
        <v>627.96799999999996</v>
      </c>
      <c r="E23" s="48">
        <f t="shared" si="34"/>
        <v>649.39400000000001</v>
      </c>
      <c r="F23" s="48">
        <f t="shared" si="34"/>
        <v>597.66899999999998</v>
      </c>
      <c r="G23" s="48">
        <f t="shared" si="34"/>
        <v>659.20899999999995</v>
      </c>
      <c r="H23" s="48">
        <f t="shared" si="34"/>
        <v>636.45100000000002</v>
      </c>
      <c r="I23" s="48">
        <f t="shared" ref="I23:J23" si="37">I65</f>
        <v>649.40598499999999</v>
      </c>
      <c r="J23" s="48">
        <f t="shared" si="37"/>
        <v>622.91501800000003</v>
      </c>
      <c r="K23" s="48">
        <f t="shared" ref="K23" si="38">K65</f>
        <v>628.54797599999995</v>
      </c>
    </row>
    <row r="24" spans="1:11" hidden="1" outlineLevel="2">
      <c r="A24" s="55" t="s">
        <v>39</v>
      </c>
      <c r="B24" s="55"/>
      <c r="C24" s="48">
        <f t="shared" ref="C24:H24" si="39">IFERROR(-C95,"n.a.")</f>
        <v>-1673.6420000000001</v>
      </c>
      <c r="D24" s="48">
        <f t="shared" si="39"/>
        <v>-1604.6769999999999</v>
      </c>
      <c r="E24" s="48">
        <f t="shared" si="39"/>
        <v>-1721.088</v>
      </c>
      <c r="F24" s="48">
        <f t="shared" si="39"/>
        <v>-1316.971</v>
      </c>
      <c r="G24" s="48">
        <f t="shared" si="39"/>
        <v>-1626.367</v>
      </c>
      <c r="H24" s="48">
        <f t="shared" si="39"/>
        <v>-1973.296439</v>
      </c>
      <c r="I24" s="48">
        <f t="shared" ref="I24:J24" si="40">IFERROR(-I95,"n.a.")</f>
        <v>-1999.4181839999999</v>
      </c>
      <c r="J24" s="48">
        <f t="shared" si="40"/>
        <v>-2081.6171899999999</v>
      </c>
      <c r="K24" s="48">
        <f t="shared" ref="K24" si="41">IFERROR(-K95,"n.a.")</f>
        <v>-2082.442129</v>
      </c>
    </row>
    <row r="25" spans="1:11" hidden="1" outlineLevel="1">
      <c r="A25" s="116" t="s">
        <v>36</v>
      </c>
      <c r="B25" s="40"/>
      <c r="C25" s="32">
        <f t="shared" ref="C25:H25" si="42">IFERROR(C22+C23+C24,"n.a.")</f>
        <v>-80.48700000000008</v>
      </c>
      <c r="D25" s="32">
        <f t="shared" si="42"/>
        <v>151.75699999999983</v>
      </c>
      <c r="E25" s="32">
        <f t="shared" si="42"/>
        <v>22.059999999999945</v>
      </c>
      <c r="F25" s="32">
        <f t="shared" si="42"/>
        <v>117.13499999999999</v>
      </c>
      <c r="G25" s="32">
        <f t="shared" si="42"/>
        <v>125.00400000000013</v>
      </c>
      <c r="H25" s="32">
        <f t="shared" si="42"/>
        <v>120.86537599999997</v>
      </c>
      <c r="I25" s="32">
        <f t="shared" ref="I25:J25" si="43">IFERROR(I22+I23+I24,"n.a.")</f>
        <v>21.42418500000008</v>
      </c>
      <c r="J25" s="32">
        <f t="shared" si="43"/>
        <v>9.004685000000336</v>
      </c>
      <c r="K25" s="32">
        <f>IFERROR(K22+K23+K24,"n.a.")-0.1</f>
        <v>1.5519650000000182</v>
      </c>
    </row>
    <row r="26" spans="1:11" hidden="1" outlineLevel="1">
      <c r="A26" s="116" t="s">
        <v>40</v>
      </c>
      <c r="B26" s="40"/>
      <c r="C26" s="24">
        <f t="shared" ref="C26:H26" si="44">IFERROR(C56+C58+C60+C67+C72+C74-C85-C89-C91-C96-C97-C100-C102,"n.a.")</f>
        <v>-153.68900000000005</v>
      </c>
      <c r="D26" s="24">
        <f t="shared" si="44"/>
        <v>-39.651000000000039</v>
      </c>
      <c r="E26" s="24">
        <f t="shared" si="44"/>
        <v>190.67499999999995</v>
      </c>
      <c r="F26" s="24">
        <f t="shared" si="44"/>
        <v>23.265000000000114</v>
      </c>
      <c r="G26" s="24">
        <f t="shared" si="44"/>
        <v>0.78500000000002501</v>
      </c>
      <c r="H26" s="24">
        <f t="shared" si="44"/>
        <v>42.312348999998946</v>
      </c>
      <c r="I26" s="24">
        <f t="shared" ref="I26" si="45">IFERROR(I56+I58+I60+I67+I72+I74-I85-I89-I91-I96-I97-I100-I102,"n.a.")</f>
        <v>45.799319999999867</v>
      </c>
      <c r="J26" s="24">
        <v>42.201160458827417</v>
      </c>
      <c r="K26" s="24">
        <v>-71.5</v>
      </c>
    </row>
    <row r="27" spans="1:11" collapsed="1">
      <c r="A27" s="16" t="s">
        <v>41</v>
      </c>
      <c r="B27" s="16"/>
      <c r="C27" s="32">
        <f t="shared" ref="C27:H27" si="46">IFERROR(C25+C26,"n.a.")</f>
        <v>-234.17600000000013</v>
      </c>
      <c r="D27" s="32">
        <f t="shared" si="46"/>
        <v>112.1059999999998</v>
      </c>
      <c r="E27" s="32">
        <f t="shared" si="46"/>
        <v>212.7349999999999</v>
      </c>
      <c r="F27" s="32">
        <f t="shared" si="46"/>
        <v>140.40000000000009</v>
      </c>
      <c r="G27" s="32">
        <f t="shared" si="46"/>
        <v>125.78900000000016</v>
      </c>
      <c r="H27" s="32">
        <f t="shared" si="46"/>
        <v>163.17772499999893</v>
      </c>
      <c r="I27" s="32">
        <f t="shared" ref="I27:J27" si="47">IFERROR(I25+I26,"n.a.")</f>
        <v>67.223504999999946</v>
      </c>
      <c r="J27" s="32">
        <f t="shared" si="47"/>
        <v>51.205845458827753</v>
      </c>
      <c r="K27" s="32">
        <f t="shared" ref="K27" si="48">IFERROR(K25+K26,"n.a.")</f>
        <v>-69.948034999999976</v>
      </c>
    </row>
    <row r="28" spans="1:11" hidden="1" outlineLevel="2">
      <c r="A28" s="16" t="s">
        <v>111</v>
      </c>
      <c r="B28" s="56"/>
      <c r="C28" s="52">
        <f t="shared" ref="C28:H28" si="49">IFERROR(C21+C27,"n.a.")</f>
        <v>8886.8209999999999</v>
      </c>
      <c r="D28" s="52">
        <f t="shared" si="49"/>
        <v>9129.857</v>
      </c>
      <c r="E28" s="52">
        <f t="shared" si="49"/>
        <v>9682.5320000000011</v>
      </c>
      <c r="F28" s="52">
        <f t="shared" si="49"/>
        <v>8997.5079999999998</v>
      </c>
      <c r="G28" s="52">
        <f t="shared" si="49"/>
        <v>9038.1610000000001</v>
      </c>
      <c r="H28" s="52">
        <f t="shared" si="49"/>
        <v>9074.2890279999992</v>
      </c>
      <c r="I28" s="52">
        <f t="shared" ref="I28:J28" si="50">IFERROR(I21+I27,"n.a.")</f>
        <v>8879.3585819999989</v>
      </c>
      <c r="J28" s="52">
        <f t="shared" si="50"/>
        <v>8822.7740324588267</v>
      </c>
      <c r="K28" s="52">
        <f t="shared" ref="K28" si="51">IFERROR(K21+K27,"n.a.")</f>
        <v>8523.1993390000007</v>
      </c>
    </row>
    <row r="29" spans="1:11" hidden="1" outlineLevel="2">
      <c r="A29" s="16" t="s">
        <v>106</v>
      </c>
      <c r="B29" s="40"/>
      <c r="C29" s="51">
        <f t="shared" ref="C29:H29" si="52">IFERROR(C77-C105,"n.a.")</f>
        <v>60.728999999999999</v>
      </c>
      <c r="D29" s="51">
        <f t="shared" si="52"/>
        <v>10.677</v>
      </c>
      <c r="E29" s="51">
        <f t="shared" si="52"/>
        <v>0</v>
      </c>
      <c r="F29" s="51">
        <f t="shared" si="52"/>
        <v>0</v>
      </c>
      <c r="G29" s="51">
        <f t="shared" si="52"/>
        <v>0</v>
      </c>
      <c r="H29" s="51">
        <f t="shared" si="52"/>
        <v>0</v>
      </c>
      <c r="I29" s="51">
        <f t="shared" ref="I29:J29" si="53">IFERROR(I77-I105,"n.a.")</f>
        <v>0</v>
      </c>
      <c r="J29" s="51">
        <f t="shared" si="53"/>
        <v>0</v>
      </c>
      <c r="K29" s="51">
        <f t="shared" ref="K29" si="54">IFERROR(K77-K105,"n.a.")</f>
        <v>0</v>
      </c>
    </row>
    <row r="30" spans="1:11" s="14" customFormat="1" ht="13" collapsed="1">
      <c r="A30" s="70" t="s">
        <v>42</v>
      </c>
      <c r="B30" s="70"/>
      <c r="C30" s="71">
        <f t="shared" ref="C30:H30" si="55">IFERROR(C28+C29,"n.a.")</f>
        <v>8947.5499999999993</v>
      </c>
      <c r="D30" s="71">
        <f t="shared" si="55"/>
        <v>9140.5339999999997</v>
      </c>
      <c r="E30" s="71">
        <f t="shared" si="55"/>
        <v>9682.5320000000011</v>
      </c>
      <c r="F30" s="71">
        <f t="shared" si="55"/>
        <v>8997.5079999999998</v>
      </c>
      <c r="G30" s="71">
        <f t="shared" si="55"/>
        <v>9038.1610000000001</v>
      </c>
      <c r="H30" s="71">
        <f t="shared" si="55"/>
        <v>9074.2890279999992</v>
      </c>
      <c r="I30" s="71">
        <f t="shared" ref="I30:J30" si="56">IFERROR(I28+I29,"n.a.")</f>
        <v>8879.3585819999989</v>
      </c>
      <c r="J30" s="71">
        <f t="shared" si="56"/>
        <v>8822.7740324588267</v>
      </c>
      <c r="K30" s="71">
        <f t="shared" ref="K30" si="57">IFERROR(K28+K29,"n.a.")</f>
        <v>8523.1993390000007</v>
      </c>
    </row>
    <row r="31" spans="1:11">
      <c r="C31" s="22"/>
      <c r="D31" s="22"/>
      <c r="E31" s="22"/>
      <c r="F31" s="22"/>
      <c r="G31" s="22"/>
      <c r="H31" s="22"/>
      <c r="I31" s="22"/>
      <c r="J31" s="22"/>
      <c r="K31" s="22"/>
    </row>
    <row r="32" spans="1:11">
      <c r="A32" s="19" t="s">
        <v>43</v>
      </c>
      <c r="B32" s="19"/>
      <c r="C32" s="33">
        <f t="shared" ref="C32:D32" si="58">C115</f>
        <v>4177.009</v>
      </c>
      <c r="D32" s="33">
        <f t="shared" si="58"/>
        <v>4550.9269999999997</v>
      </c>
      <c r="E32" s="33">
        <f t="shared" ref="E32:J32" si="59">E115</f>
        <v>4826.6310000000003</v>
      </c>
      <c r="F32" s="206">
        <f t="shared" si="59"/>
        <v>4551.8500000000004</v>
      </c>
      <c r="G32" s="206">
        <f t="shared" si="59"/>
        <v>5042.6390000000001</v>
      </c>
      <c r="H32" s="206">
        <f t="shared" si="59"/>
        <v>5453.8283180000008</v>
      </c>
      <c r="I32" s="206">
        <f t="shared" si="59"/>
        <v>5619.5939649999991</v>
      </c>
      <c r="J32" s="206">
        <f t="shared" si="59"/>
        <v>5912.2540629999994</v>
      </c>
      <c r="K32" s="206">
        <f t="shared" ref="K32" si="60">K115</f>
        <v>6456.7369010000002</v>
      </c>
    </row>
    <row r="33" spans="1:14" hidden="1" outlineLevel="2">
      <c r="A33" s="40" t="s">
        <v>110</v>
      </c>
      <c r="B33" s="40"/>
      <c r="C33" s="51">
        <f t="shared" ref="C33:D33" si="61">IFERROR(-C54-C62+C86+C87+C88+C98+C99,"n.a.")</f>
        <v>1552.076</v>
      </c>
      <c r="D33" s="51">
        <f t="shared" si="61"/>
        <v>1409.4770000000001</v>
      </c>
      <c r="E33" s="51">
        <f t="shared" ref="E33:J33" si="62">IFERROR(-E54-E62+E86+E87+E88+E98+E99,"n.a.")</f>
        <v>1348.6759999999999</v>
      </c>
      <c r="F33" s="51">
        <f t="shared" si="62"/>
        <v>1187.2829999999999</v>
      </c>
      <c r="G33" s="51">
        <f t="shared" si="62"/>
        <v>1088.4060000000002</v>
      </c>
      <c r="H33" s="51">
        <f t="shared" si="62"/>
        <v>1067.8826750000001</v>
      </c>
      <c r="I33" s="51">
        <f t="shared" si="62"/>
        <v>998.03605099999993</v>
      </c>
      <c r="J33" s="51">
        <f t="shared" si="62"/>
        <v>984.75417600000003</v>
      </c>
      <c r="K33" s="51">
        <f t="shared" ref="K33" si="63">IFERROR(-K54-K62+K86+K87+K88+K98+K99,"n.a.")</f>
        <v>964.51398899999992</v>
      </c>
    </row>
    <row r="34" spans="1:14" hidden="1" outlineLevel="2">
      <c r="A34" s="40" t="s">
        <v>107</v>
      </c>
      <c r="B34" s="40"/>
      <c r="C34" s="24">
        <v>0</v>
      </c>
      <c r="D34" s="24">
        <v>0</v>
      </c>
      <c r="E34" s="24">
        <v>0</v>
      </c>
      <c r="F34" s="24">
        <v>0</v>
      </c>
      <c r="G34" s="24">
        <v>0</v>
      </c>
      <c r="H34" s="24">
        <v>0</v>
      </c>
      <c r="I34" s="24">
        <v>0</v>
      </c>
      <c r="J34" s="24">
        <v>0</v>
      </c>
      <c r="K34" s="24">
        <v>0</v>
      </c>
    </row>
    <row r="35" spans="1:14" collapsed="1">
      <c r="A35" s="16" t="s">
        <v>44</v>
      </c>
      <c r="B35" s="16"/>
      <c r="C35" s="51">
        <f t="shared" ref="C35:H35" si="64">IFERROR(C33+C34,"n.a.")</f>
        <v>1552.076</v>
      </c>
      <c r="D35" s="51">
        <f t="shared" si="64"/>
        <v>1409.4770000000001</v>
      </c>
      <c r="E35" s="51">
        <f t="shared" si="64"/>
        <v>1348.6759999999999</v>
      </c>
      <c r="F35" s="51">
        <f t="shared" si="64"/>
        <v>1187.2829999999999</v>
      </c>
      <c r="G35" s="51">
        <f t="shared" si="64"/>
        <v>1088.4060000000002</v>
      </c>
      <c r="H35" s="51">
        <f t="shared" si="64"/>
        <v>1067.8826750000001</v>
      </c>
      <c r="I35" s="51">
        <f t="shared" ref="I35:J35" si="65">IFERROR(I33+I34,"n.a.")</f>
        <v>998.03605099999993</v>
      </c>
      <c r="J35" s="51">
        <f t="shared" si="65"/>
        <v>984.75417600000003</v>
      </c>
      <c r="K35" s="51">
        <f t="shared" ref="K35" si="66">IFERROR(K33+K34,"n.a.")</f>
        <v>964.51398899999992</v>
      </c>
    </row>
    <row r="36" spans="1:14">
      <c r="A36" s="16" t="s">
        <v>205</v>
      </c>
      <c r="B36" s="16"/>
      <c r="C36" s="51">
        <f t="shared" ref="C36:E36" si="67">IFERROR(C40-C37,C40)</f>
        <v>3218.4949999999994</v>
      </c>
      <c r="D36" s="51">
        <f t="shared" si="67"/>
        <v>3180.1300000000006</v>
      </c>
      <c r="E36" s="51">
        <f t="shared" si="67"/>
        <v>3024.0529999999999</v>
      </c>
      <c r="F36" s="51">
        <f t="shared" ref="F36:K36" si="68">IFERROR(F40-F37,"n.a.")</f>
        <v>2792.5219999999999</v>
      </c>
      <c r="G36" s="51">
        <f t="shared" si="68"/>
        <v>2402.7089999999994</v>
      </c>
      <c r="H36" s="51">
        <f t="shared" si="68"/>
        <v>2067.1493339999997</v>
      </c>
      <c r="I36" s="51">
        <f t="shared" si="68"/>
        <v>1779.2424935338663</v>
      </c>
      <c r="J36" s="51">
        <f t="shared" si="68"/>
        <v>1440.135818035458</v>
      </c>
      <c r="K36" s="51">
        <f t="shared" si="68"/>
        <v>643.71317599999998</v>
      </c>
    </row>
    <row r="37" spans="1:14">
      <c r="A37" s="16" t="s">
        <v>273</v>
      </c>
      <c r="B37" s="16"/>
      <c r="C37" s="24" t="s">
        <v>164</v>
      </c>
      <c r="D37" s="24" t="s">
        <v>164</v>
      </c>
      <c r="E37" s="24">
        <v>483.17200000000003</v>
      </c>
      <c r="F37" s="24">
        <v>465.85300000000001</v>
      </c>
      <c r="G37" s="24">
        <v>504.40699999999998</v>
      </c>
      <c r="H37" s="24">
        <v>485.48500000000001</v>
      </c>
      <c r="I37" s="24">
        <v>482.48507246613332</v>
      </c>
      <c r="J37" s="24">
        <v>485.62672396454201</v>
      </c>
      <c r="K37" s="24">
        <v>458.3</v>
      </c>
    </row>
    <row r="38" spans="1:14" hidden="1" outlineLevel="2">
      <c r="A38" s="40" t="s">
        <v>109</v>
      </c>
      <c r="B38" s="40"/>
      <c r="C38" s="51">
        <f t="shared" ref="C38:D38" si="69">IFERROR(C84+C90+C94+C101-C55-C59-C66-C71-C73-C70-C69,"n.a.")</f>
        <v>3218.4949999999994</v>
      </c>
      <c r="D38" s="51">
        <f t="shared" si="69"/>
        <v>3180.1300000000006</v>
      </c>
      <c r="E38" s="51">
        <f t="shared" ref="E38:I38" si="70">IFERROR(E84+E90+E94+E101-E55-E59-E66-E71-E73-E70-E69,"n.a.")</f>
        <v>3507.2249999999999</v>
      </c>
      <c r="F38" s="51">
        <f t="shared" si="70"/>
        <v>3258.375</v>
      </c>
      <c r="G38" s="51">
        <f t="shared" si="70"/>
        <v>2907.1159999999995</v>
      </c>
      <c r="H38" s="51">
        <f t="shared" si="70"/>
        <v>2552.6343339999999</v>
      </c>
      <c r="I38" s="51">
        <f t="shared" si="70"/>
        <v>2261.7275659999996</v>
      </c>
      <c r="J38" s="51">
        <f>IFERROR(J84+J90+J94+J101-J55-J59-J66-J71-J73-J70-J69,"n.a.")</f>
        <v>1925.7625419999999</v>
      </c>
      <c r="K38" s="51">
        <f>IFERROR(K84+K90+K94+K101-K55-K59-K66-K71-K73-K70-K69,"n.a.")</f>
        <v>1102.0131759999999</v>
      </c>
    </row>
    <row r="39" spans="1:14" hidden="1" outlineLevel="2">
      <c r="A39" s="40" t="s">
        <v>108</v>
      </c>
      <c r="B39" s="40"/>
      <c r="C39" s="24">
        <v>0</v>
      </c>
      <c r="D39" s="24">
        <v>0</v>
      </c>
      <c r="E39" s="24">
        <v>0</v>
      </c>
      <c r="F39" s="24">
        <v>0</v>
      </c>
      <c r="G39" s="24">
        <v>0</v>
      </c>
      <c r="H39" s="24">
        <v>0</v>
      </c>
      <c r="I39" s="24">
        <v>0</v>
      </c>
      <c r="J39" s="24">
        <v>0</v>
      </c>
      <c r="K39" s="24">
        <v>0</v>
      </c>
    </row>
    <row r="40" spans="1:14" collapsed="1">
      <c r="A40" s="16" t="s">
        <v>206</v>
      </c>
      <c r="B40" s="16"/>
      <c r="C40" s="51">
        <f t="shared" ref="C40:H40" si="71">IFERROR(C38+C39,"n.a.")</f>
        <v>3218.4949999999994</v>
      </c>
      <c r="D40" s="51">
        <f t="shared" si="71"/>
        <v>3180.1300000000006</v>
      </c>
      <c r="E40" s="51">
        <f t="shared" si="71"/>
        <v>3507.2249999999999</v>
      </c>
      <c r="F40" s="51">
        <f t="shared" si="71"/>
        <v>3258.375</v>
      </c>
      <c r="G40" s="51">
        <f t="shared" si="71"/>
        <v>2907.1159999999995</v>
      </c>
      <c r="H40" s="51">
        <f t="shared" si="71"/>
        <v>2552.6343339999999</v>
      </c>
      <c r="I40" s="51">
        <f t="shared" ref="I40:J40" si="72">IFERROR(I38+I39,"n.a.")</f>
        <v>2261.7275659999996</v>
      </c>
      <c r="J40" s="51">
        <f t="shared" si="72"/>
        <v>1925.7625419999999</v>
      </c>
      <c r="K40" s="51">
        <f t="shared" ref="K40" si="73">IFERROR(K38+K39,"n.a.")</f>
        <v>1102.0131759999999</v>
      </c>
    </row>
    <row r="41" spans="1:14" s="14" customFormat="1" ht="13">
      <c r="A41" s="64" t="s">
        <v>46</v>
      </c>
      <c r="B41" s="64"/>
      <c r="C41" s="65">
        <f t="shared" ref="C41:H41" si="74">IFERROR(C32+C35+C40,"n.a.")</f>
        <v>8947.58</v>
      </c>
      <c r="D41" s="65">
        <f t="shared" si="74"/>
        <v>9140.5339999999997</v>
      </c>
      <c r="E41" s="65">
        <f t="shared" si="74"/>
        <v>9682.5320000000011</v>
      </c>
      <c r="F41" s="65">
        <f t="shared" si="74"/>
        <v>8997.5079999999998</v>
      </c>
      <c r="G41" s="65">
        <f t="shared" si="74"/>
        <v>9038.1610000000001</v>
      </c>
      <c r="H41" s="65">
        <f t="shared" si="74"/>
        <v>9074.3453270000009</v>
      </c>
      <c r="I41" s="65">
        <f t="shared" ref="I41:J41" si="75">IFERROR(I32+I35+I40,"n.a.")</f>
        <v>8879.3575819999987</v>
      </c>
      <c r="J41" s="65">
        <f t="shared" si="75"/>
        <v>8822.7707809999993</v>
      </c>
      <c r="K41" s="65">
        <f t="shared" ref="K41" si="76">IFERROR(K32+K35+K40,"n.a.")</f>
        <v>8523.2640659999997</v>
      </c>
    </row>
    <row r="42" spans="1:14" ht="13">
      <c r="L42" s="14"/>
      <c r="M42" s="14"/>
      <c r="N42" s="14"/>
    </row>
    <row r="43" spans="1:14" ht="13">
      <c r="L43" s="14"/>
      <c r="M43" s="14"/>
      <c r="N43" s="14"/>
    </row>
    <row r="44" spans="1:14" ht="13.5" thickBot="1">
      <c r="A44" s="9" t="s">
        <v>61</v>
      </c>
      <c r="B44" s="9"/>
      <c r="C44" s="10" t="str">
        <f t="shared" ref="C44:E45" si="77">C4</f>
        <v>FY 2017</v>
      </c>
      <c r="D44" s="10" t="str">
        <f t="shared" si="77"/>
        <v>FY 2018</v>
      </c>
      <c r="E44" s="10" t="str">
        <f t="shared" si="77"/>
        <v>FY 2019</v>
      </c>
      <c r="F44" s="10" t="str">
        <f t="shared" ref="F44:H45" si="78">F4</f>
        <v>FY 2020</v>
      </c>
      <c r="G44" s="10" t="str">
        <f t="shared" si="78"/>
        <v>FY 2021</v>
      </c>
      <c r="H44" s="10" t="str">
        <f t="shared" si="78"/>
        <v>FY 2022</v>
      </c>
      <c r="I44" s="10" t="str">
        <f t="shared" ref="I44:J44" si="79">I4</f>
        <v>FY 2023</v>
      </c>
      <c r="J44" s="10" t="str">
        <f t="shared" si="79"/>
        <v>FY 2024</v>
      </c>
      <c r="K44" s="10" t="str">
        <f t="shared" ref="K44" si="80">K4</f>
        <v>FY 2025</v>
      </c>
      <c r="L44" s="14"/>
      <c r="M44" s="14"/>
      <c r="N44" s="14"/>
    </row>
    <row r="45" spans="1:14" ht="13">
      <c r="C45" s="20" t="str">
        <f t="shared" si="77"/>
        <v>reported</v>
      </c>
      <c r="D45" s="20" t="str">
        <f t="shared" si="77"/>
        <v>reported</v>
      </c>
      <c r="E45" s="20" t="str">
        <f t="shared" si="77"/>
        <v>reported</v>
      </c>
      <c r="F45" s="20" t="str">
        <f t="shared" si="78"/>
        <v>reported</v>
      </c>
      <c r="G45" s="20" t="str">
        <f t="shared" si="78"/>
        <v>reported</v>
      </c>
      <c r="H45" s="20" t="str">
        <f t="shared" si="78"/>
        <v>reported</v>
      </c>
      <c r="I45" s="20" t="str">
        <f t="shared" ref="I45:J45" si="81">I5</f>
        <v>reported</v>
      </c>
      <c r="J45" s="20" t="str">
        <f t="shared" si="81"/>
        <v>reported</v>
      </c>
      <c r="K45" s="20" t="str">
        <f t="shared" ref="K45" si="82">K5</f>
        <v>reported</v>
      </c>
      <c r="L45" s="14"/>
      <c r="M45" s="14"/>
      <c r="N45" s="14"/>
    </row>
    <row r="46" spans="1:14" ht="13">
      <c r="L46" s="14"/>
      <c r="M46" s="14"/>
      <c r="N46" s="14"/>
    </row>
    <row r="47" spans="1:14" ht="13" hidden="1" outlineLevel="1">
      <c r="A47" s="41" t="s">
        <v>0</v>
      </c>
      <c r="B47" s="41"/>
      <c r="C47" s="23">
        <v>2980.2939999999999</v>
      </c>
      <c r="D47" s="23">
        <v>3092.9270000000001</v>
      </c>
      <c r="E47" s="23">
        <v>3649.8090000000002</v>
      </c>
      <c r="F47" s="23">
        <v>3159.7669999999998</v>
      </c>
      <c r="G47" s="23">
        <v>3288.9140000000002</v>
      </c>
      <c r="H47" s="23">
        <v>3399.6280000000002</v>
      </c>
      <c r="I47" s="23">
        <v>3409.1143700000002</v>
      </c>
      <c r="J47" s="23">
        <v>3427.7557379999998</v>
      </c>
      <c r="K47" s="23">
        <v>3366.3847040000001</v>
      </c>
      <c r="L47" s="14"/>
      <c r="M47" s="14"/>
      <c r="N47" s="14"/>
    </row>
    <row r="48" spans="1:14" ht="13" hidden="1" outlineLevel="1">
      <c r="A48" s="40" t="s">
        <v>1</v>
      </c>
      <c r="B48" s="40"/>
      <c r="C48" s="24">
        <v>5893.7039999999997</v>
      </c>
      <c r="D48" s="24">
        <v>5783.3379999999997</v>
      </c>
      <c r="E48" s="24">
        <v>5680.1750000000002</v>
      </c>
      <c r="F48" s="24">
        <v>5582.0330000000004</v>
      </c>
      <c r="G48" s="24">
        <v>5485.665</v>
      </c>
      <c r="H48" s="24">
        <v>5382.8370000000004</v>
      </c>
      <c r="I48" s="24">
        <v>5263.7867079999996</v>
      </c>
      <c r="J48" s="24">
        <v>5159.7290599999997</v>
      </c>
      <c r="K48" s="24">
        <v>5047.7663890000003</v>
      </c>
      <c r="L48" s="14"/>
      <c r="M48" s="14"/>
      <c r="N48" s="14"/>
    </row>
    <row r="49" spans="1:14" ht="13" hidden="1" outlineLevel="1">
      <c r="A49" s="141" t="s">
        <v>48</v>
      </c>
      <c r="B49" s="141"/>
      <c r="C49" s="145">
        <v>1877.3630000000001</v>
      </c>
      <c r="D49" s="145">
        <v>1886.9</v>
      </c>
      <c r="E49" s="145">
        <v>1886.9</v>
      </c>
      <c r="F49" s="145">
        <v>1883.9449999999999</v>
      </c>
      <c r="G49" s="145">
        <v>1883.7650000000001</v>
      </c>
      <c r="H49" s="145">
        <v>1884.6289999999999</v>
      </c>
      <c r="I49" s="145">
        <v>1884.925</v>
      </c>
      <c r="J49" s="145">
        <v>1886.711</v>
      </c>
      <c r="K49" s="145">
        <v>1880.25</v>
      </c>
      <c r="L49" s="14"/>
      <c r="M49" s="14"/>
      <c r="N49" s="14"/>
    </row>
    <row r="50" spans="1:14" ht="13" hidden="1" outlineLevel="1">
      <c r="A50" s="40" t="s">
        <v>49</v>
      </c>
      <c r="B50" s="40"/>
      <c r="C50" s="24">
        <v>17.48</v>
      </c>
      <c r="D50" s="24">
        <v>72.704999999999998</v>
      </c>
      <c r="E50" s="24">
        <v>80.846000000000004</v>
      </c>
      <c r="F50" s="24">
        <v>72.587999999999994</v>
      </c>
      <c r="G50" s="24">
        <v>80.885999999999996</v>
      </c>
      <c r="H50" s="24">
        <v>80.227000000000004</v>
      </c>
      <c r="I50" s="24">
        <v>86.396899999999988</v>
      </c>
      <c r="J50" s="24">
        <v>120.789675</v>
      </c>
      <c r="K50" s="24">
        <v>141.39695900000001</v>
      </c>
      <c r="L50" s="14"/>
      <c r="M50" s="14"/>
      <c r="N50" s="14"/>
    </row>
    <row r="51" spans="1:14" ht="13" hidden="1" outlineLevel="1">
      <c r="A51" s="40" t="s">
        <v>50</v>
      </c>
      <c r="B51" s="40"/>
      <c r="C51" s="24">
        <v>229.51900000000001</v>
      </c>
      <c r="D51" s="24">
        <v>0</v>
      </c>
      <c r="E51" s="24">
        <v>0</v>
      </c>
      <c r="F51" s="24">
        <v>0</v>
      </c>
      <c r="G51" s="24">
        <v>0</v>
      </c>
      <c r="H51" s="24">
        <v>0</v>
      </c>
      <c r="I51" s="24">
        <v>0</v>
      </c>
      <c r="J51" s="24">
        <v>0</v>
      </c>
      <c r="K51" s="24">
        <v>0</v>
      </c>
      <c r="L51" s="14"/>
      <c r="M51" s="14"/>
      <c r="N51" s="14"/>
    </row>
    <row r="52" spans="1:14" ht="13" hidden="1" outlineLevel="1">
      <c r="A52" s="40" t="s">
        <v>174</v>
      </c>
      <c r="B52" s="40"/>
      <c r="C52" s="24">
        <v>0</v>
      </c>
      <c r="D52" s="24">
        <v>0</v>
      </c>
      <c r="E52" s="24">
        <v>0</v>
      </c>
      <c r="F52" s="24">
        <v>0</v>
      </c>
      <c r="G52" s="24">
        <v>0</v>
      </c>
      <c r="H52" s="24">
        <v>0</v>
      </c>
      <c r="I52" s="24">
        <v>0</v>
      </c>
      <c r="J52" s="24">
        <v>0</v>
      </c>
      <c r="K52" s="24">
        <v>0</v>
      </c>
      <c r="L52" s="14"/>
      <c r="M52" s="14"/>
      <c r="N52" s="14"/>
    </row>
    <row r="53" spans="1:14" ht="13" hidden="1" outlineLevel="1">
      <c r="A53" s="40" t="s">
        <v>225</v>
      </c>
      <c r="B53" s="40"/>
      <c r="C53" s="24">
        <v>0</v>
      </c>
      <c r="D53" s="24">
        <v>68.781000000000006</v>
      </c>
      <c r="E53" s="24">
        <v>58.966999999999999</v>
      </c>
      <c r="F53" s="24">
        <v>42.72</v>
      </c>
      <c r="G53" s="24">
        <v>56.906999999999996</v>
      </c>
      <c r="H53" s="24">
        <v>48.419302999999999</v>
      </c>
      <c r="I53" s="24">
        <v>52.837099000000002</v>
      </c>
      <c r="J53" s="24">
        <v>63.293714000000001</v>
      </c>
      <c r="K53" s="24">
        <v>37.599322000000001</v>
      </c>
      <c r="L53" s="14"/>
      <c r="M53" s="14"/>
      <c r="N53" s="14"/>
    </row>
    <row r="54" spans="1:14" ht="13" hidden="1" outlineLevel="1">
      <c r="A54" s="40" t="s">
        <v>51</v>
      </c>
      <c r="B54" s="40"/>
      <c r="C54" s="24">
        <v>111.553</v>
      </c>
      <c r="D54" s="24">
        <v>74.117999999999995</v>
      </c>
      <c r="E54" s="24">
        <v>81.188000000000002</v>
      </c>
      <c r="F54" s="24">
        <v>109.378</v>
      </c>
      <c r="G54" s="24">
        <v>137.643</v>
      </c>
      <c r="H54" s="24">
        <v>176.96859499999999</v>
      </c>
      <c r="I54" s="24">
        <v>202.84903</v>
      </c>
      <c r="J54" s="24">
        <v>228.739846</v>
      </c>
      <c r="K54" s="24">
        <v>210.48958300000001</v>
      </c>
      <c r="L54" s="14"/>
      <c r="M54" s="14"/>
      <c r="N54" s="14"/>
    </row>
    <row r="55" spans="1:14" ht="13" hidden="1" outlineLevel="2">
      <c r="A55" s="55" t="s">
        <v>104</v>
      </c>
      <c r="B55" s="55"/>
      <c r="C55" s="24">
        <v>94.584999999999994</v>
      </c>
      <c r="D55" s="24">
        <v>123.547</v>
      </c>
      <c r="E55" s="24">
        <v>135.99600000000001</v>
      </c>
      <c r="F55" s="24">
        <v>265.94499999999999</v>
      </c>
      <c r="G55" s="24">
        <v>261.52199999999999</v>
      </c>
      <c r="H55" s="24">
        <v>104.767</v>
      </c>
      <c r="I55" s="24">
        <v>112.828</v>
      </c>
      <c r="J55" s="24">
        <v>104.288</v>
      </c>
      <c r="K55" s="24">
        <f>127.93-8.229</f>
        <v>119.70100000000001</v>
      </c>
      <c r="L55" s="14"/>
      <c r="M55" s="14"/>
      <c r="N55" s="14"/>
    </row>
    <row r="56" spans="1:14" ht="13" hidden="1" outlineLevel="2">
      <c r="A56" s="55" t="s">
        <v>105</v>
      </c>
      <c r="B56" s="55"/>
      <c r="C56" s="24">
        <v>109.46599999999999</v>
      </c>
      <c r="D56" s="24">
        <v>102.16</v>
      </c>
      <c r="E56" s="24">
        <v>206.40099999999998</v>
      </c>
      <c r="F56" s="24">
        <v>136.20300000000003</v>
      </c>
      <c r="G56" s="24">
        <v>101.42200000000003</v>
      </c>
      <c r="H56" s="24">
        <v>126.4</v>
      </c>
      <c r="I56" s="24">
        <v>295.79730499999994</v>
      </c>
      <c r="J56" s="24">
        <v>205.237617</v>
      </c>
      <c r="K56" s="24">
        <f>322.004-K55</f>
        <v>202.303</v>
      </c>
      <c r="L56" s="14"/>
      <c r="M56" s="14"/>
      <c r="N56" s="14"/>
    </row>
    <row r="57" spans="1:14" ht="13" hidden="1" outlineLevel="1">
      <c r="A57" s="40" t="s">
        <v>52</v>
      </c>
      <c r="B57" s="40"/>
      <c r="C57" s="51">
        <f t="shared" ref="C57:J57" si="83">IFERROR(C55+C56,"n.a.")</f>
        <v>204.05099999999999</v>
      </c>
      <c r="D57" s="51">
        <f t="shared" si="83"/>
        <v>225.70699999999999</v>
      </c>
      <c r="E57" s="51">
        <f t="shared" si="83"/>
        <v>342.39699999999999</v>
      </c>
      <c r="F57" s="51">
        <f t="shared" si="83"/>
        <v>402.14800000000002</v>
      </c>
      <c r="G57" s="51">
        <f t="shared" si="83"/>
        <v>362.94400000000002</v>
      </c>
      <c r="H57" s="51">
        <f t="shared" si="83"/>
        <v>231.167</v>
      </c>
      <c r="I57" s="51">
        <f t="shared" si="83"/>
        <v>408.62530499999991</v>
      </c>
      <c r="J57" s="51">
        <f t="shared" si="83"/>
        <v>309.52561700000001</v>
      </c>
      <c r="K57" s="51">
        <f t="shared" ref="K57" si="84">IFERROR(K55+K56,"n.a.")</f>
        <v>322.00400000000002</v>
      </c>
      <c r="L57" s="14"/>
      <c r="M57" s="14"/>
      <c r="N57" s="14"/>
    </row>
    <row r="58" spans="1:14" ht="13" hidden="1" outlineLevel="1">
      <c r="A58" s="40" t="s">
        <v>53</v>
      </c>
      <c r="B58" s="40"/>
      <c r="C58" s="24">
        <v>27.318000000000001</v>
      </c>
      <c r="D58" s="24">
        <v>16.169</v>
      </c>
      <c r="E58" s="24">
        <v>9.14</v>
      </c>
      <c r="F58" s="24">
        <v>4.7610000000000001</v>
      </c>
      <c r="G58" s="24">
        <v>27.564</v>
      </c>
      <c r="H58" s="24">
        <v>9.0547260000000005</v>
      </c>
      <c r="I58" s="24">
        <v>11.317784</v>
      </c>
      <c r="J58" s="24">
        <v>9.9726479999999995</v>
      </c>
      <c r="K58" s="24">
        <v>7.8350710000000001</v>
      </c>
      <c r="L58" s="14"/>
      <c r="M58" s="14"/>
      <c r="N58" s="14"/>
    </row>
    <row r="59" spans="1:14" ht="13" hidden="1" outlineLevel="2">
      <c r="A59" s="55" t="s">
        <v>186</v>
      </c>
      <c r="B59" s="55"/>
      <c r="C59" s="24">
        <v>0</v>
      </c>
      <c r="D59" s="24">
        <v>20.134</v>
      </c>
      <c r="E59" s="24">
        <v>52.515000000000001</v>
      </c>
      <c r="F59" s="24">
        <v>0</v>
      </c>
      <c r="G59" s="24">
        <v>4.6120000000000001</v>
      </c>
      <c r="H59" s="24">
        <v>26.430126000000001</v>
      </c>
      <c r="I59" s="24">
        <v>12.885952</v>
      </c>
      <c r="J59" s="24">
        <v>4.3257240000000001</v>
      </c>
      <c r="K59" s="24">
        <v>0</v>
      </c>
      <c r="L59" s="14"/>
      <c r="M59" s="14"/>
      <c r="N59" s="14"/>
    </row>
    <row r="60" spans="1:14" ht="13" hidden="1" outlineLevel="2">
      <c r="A60" s="55" t="s">
        <v>187</v>
      </c>
      <c r="B60" s="55"/>
      <c r="C60" s="24">
        <v>0.84799999999999998</v>
      </c>
      <c r="D60" s="24">
        <v>0</v>
      </c>
      <c r="E60" s="24">
        <v>0</v>
      </c>
      <c r="F60" s="24">
        <v>0</v>
      </c>
      <c r="G60" s="24">
        <v>0</v>
      </c>
      <c r="H60" s="24">
        <v>0</v>
      </c>
      <c r="I60" s="24">
        <v>0</v>
      </c>
      <c r="J60" s="24">
        <v>0</v>
      </c>
      <c r="K60" s="24">
        <v>0</v>
      </c>
      <c r="L60" s="14"/>
      <c r="M60" s="14"/>
      <c r="N60" s="14"/>
    </row>
    <row r="61" spans="1:14" ht="13" hidden="1" outlineLevel="1">
      <c r="A61" s="40" t="s">
        <v>57</v>
      </c>
      <c r="B61" s="40"/>
      <c r="C61" s="51">
        <f t="shared" ref="C61:H61" si="85">IFERROR(C59+C60,"n.a.")</f>
        <v>0.84799999999999998</v>
      </c>
      <c r="D61" s="51">
        <f t="shared" si="85"/>
        <v>20.134</v>
      </c>
      <c r="E61" s="51">
        <f t="shared" si="85"/>
        <v>52.515000000000001</v>
      </c>
      <c r="F61" s="51">
        <f t="shared" si="85"/>
        <v>0</v>
      </c>
      <c r="G61" s="51">
        <f t="shared" si="85"/>
        <v>4.6120000000000001</v>
      </c>
      <c r="H61" s="51">
        <f t="shared" si="85"/>
        <v>26.430126000000001</v>
      </c>
      <c r="I61" s="51">
        <f t="shared" ref="I61:J61" si="86">IFERROR(I59+I60,"n.a.")</f>
        <v>12.885952</v>
      </c>
      <c r="J61" s="51">
        <f t="shared" si="86"/>
        <v>4.3257240000000001</v>
      </c>
      <c r="K61" s="51">
        <f t="shared" ref="K61" si="87">IFERROR(K59+K60,"n.a.")</f>
        <v>0</v>
      </c>
      <c r="L61" s="14"/>
      <c r="M61" s="14"/>
      <c r="N61" s="14"/>
    </row>
    <row r="62" spans="1:14" ht="13" hidden="1" outlineLevel="1">
      <c r="A62" s="40" t="s">
        <v>252</v>
      </c>
      <c r="B62" s="40"/>
      <c r="C62" s="24">
        <v>0</v>
      </c>
      <c r="D62" s="24">
        <v>0</v>
      </c>
      <c r="E62" s="24">
        <v>57.829000000000001</v>
      </c>
      <c r="F62" s="24">
        <v>80.421999999999997</v>
      </c>
      <c r="G62" s="24">
        <v>153.20500000000001</v>
      </c>
      <c r="H62" s="24">
        <v>120.4808</v>
      </c>
      <c r="I62" s="24">
        <v>115.89430400000001</v>
      </c>
      <c r="J62" s="24">
        <v>93.838308999999995</v>
      </c>
      <c r="K62" s="24">
        <v>85.048357999999993</v>
      </c>
      <c r="L62" s="14"/>
      <c r="M62" s="14"/>
      <c r="N62" s="14"/>
    </row>
    <row r="63" spans="1:14" s="14" customFormat="1" ht="13" collapsed="1">
      <c r="A63" s="57" t="s">
        <v>54</v>
      </c>
      <c r="B63" s="57"/>
      <c r="C63" s="54">
        <f t="shared" ref="C63:F63" si="88">IFERROR(C47+C48+C50+C51+C52+C53+C54+C57+C58+C61+C62,"n.a.")</f>
        <v>9464.766999999998</v>
      </c>
      <c r="D63" s="54">
        <f t="shared" si="88"/>
        <v>9353.8790000000008</v>
      </c>
      <c r="E63" s="54">
        <f t="shared" si="88"/>
        <v>10012.866</v>
      </c>
      <c r="F63" s="54">
        <f t="shared" si="88"/>
        <v>9453.8169999999991</v>
      </c>
      <c r="G63" s="54">
        <f>IFERROR(G47+G48+G50+G51+G52+G53+G54+G57+G58+G61+G62,"n.a.")</f>
        <v>9598.3399999999983</v>
      </c>
      <c r="H63" s="54">
        <f>IFERROR(H47+H48+H50+H51+H52+H53+H54+H57+H58+H61+H62,"n.a.")</f>
        <v>9475.2125500000002</v>
      </c>
      <c r="I63" s="54">
        <f>IFERROR(I47+I48+I50+I51+I52+I53+I54+I57+I58+I61+I62,"n.a.")</f>
        <v>9563.7074519999987</v>
      </c>
      <c r="J63" s="54">
        <f>IFERROR(J47+J48+J50+J51+J52+J53+J54+J57+J58+J61+J62,"n.a.")</f>
        <v>9417.9703310000004</v>
      </c>
      <c r="K63" s="54">
        <f>IFERROR(K47+K48+K50+K51+K52+K53+K54+K57+K58+K61+K62,"n.a.")</f>
        <v>9218.524386000001</v>
      </c>
    </row>
    <row r="64" spans="1:14" ht="13" hidden="1" outlineLevel="1">
      <c r="A64" s="40" t="s">
        <v>37</v>
      </c>
      <c r="B64" s="40"/>
      <c r="C64" s="24">
        <v>940.66800000000001</v>
      </c>
      <c r="D64" s="24">
        <v>1128.4659999999999</v>
      </c>
      <c r="E64" s="24">
        <v>1093.7539999999999</v>
      </c>
      <c r="F64" s="24">
        <v>836.43700000000001</v>
      </c>
      <c r="G64" s="24">
        <v>1092.162</v>
      </c>
      <c r="H64" s="24">
        <v>1457.7108149999999</v>
      </c>
      <c r="I64" s="24">
        <v>1371.4363840000001</v>
      </c>
      <c r="J64" s="24">
        <v>1467.7068570000001</v>
      </c>
      <c r="K64" s="24">
        <v>1455.546118</v>
      </c>
      <c r="L64" s="14"/>
      <c r="M64" s="14"/>
      <c r="N64" s="14"/>
    </row>
    <row r="65" spans="1:14" ht="13" hidden="1" outlineLevel="1">
      <c r="A65" s="40" t="s">
        <v>38</v>
      </c>
      <c r="B65" s="40"/>
      <c r="C65" s="24">
        <v>652.48699999999997</v>
      </c>
      <c r="D65" s="24">
        <v>627.96799999999996</v>
      </c>
      <c r="E65" s="24">
        <v>649.39400000000001</v>
      </c>
      <c r="F65" s="24">
        <v>597.66899999999998</v>
      </c>
      <c r="G65" s="24">
        <v>659.20899999999995</v>
      </c>
      <c r="H65" s="24">
        <f>636.446+0.005</f>
        <v>636.45100000000002</v>
      </c>
      <c r="I65" s="24">
        <v>649.40598499999999</v>
      </c>
      <c r="J65" s="24">
        <v>622.91501800000003</v>
      </c>
      <c r="K65" s="24">
        <v>628.54797599999995</v>
      </c>
      <c r="L65" s="14"/>
      <c r="M65" s="14"/>
      <c r="N65" s="14"/>
    </row>
    <row r="66" spans="1:14" ht="13" hidden="1" outlineLevel="2">
      <c r="A66" s="55" t="s">
        <v>104</v>
      </c>
      <c r="B66" s="55"/>
      <c r="C66" s="24">
        <v>36.511000000000003</v>
      </c>
      <c r="D66" s="24">
        <v>27.32</v>
      </c>
      <c r="E66" s="24">
        <v>35.503</v>
      </c>
      <c r="F66" s="24">
        <v>102.574</v>
      </c>
      <c r="G66" s="24">
        <v>81.819000000000003</v>
      </c>
      <c r="H66" s="24">
        <v>270.91699999999997</v>
      </c>
      <c r="I66" s="24">
        <v>106.06</v>
      </c>
      <c r="J66" s="24">
        <v>113.298</v>
      </c>
      <c r="K66" s="24">
        <f>128.87-0.057</f>
        <v>128.81300000000002</v>
      </c>
      <c r="L66" s="14"/>
      <c r="M66" s="14"/>
      <c r="N66" s="14"/>
    </row>
    <row r="67" spans="1:14" ht="13" hidden="1" outlineLevel="2">
      <c r="A67" s="55" t="s">
        <v>105</v>
      </c>
      <c r="B67" s="55"/>
      <c r="C67" s="24">
        <v>364.02799999999996</v>
      </c>
      <c r="D67" s="24">
        <v>389.33100000000002</v>
      </c>
      <c r="E67" s="24">
        <v>416.35500000000002</v>
      </c>
      <c r="F67" s="24">
        <v>366.62</v>
      </c>
      <c r="G67" s="24">
        <v>388.75799999999998</v>
      </c>
      <c r="H67" s="24">
        <v>470.3</v>
      </c>
      <c r="I67" s="24">
        <v>313.18948599999999</v>
      </c>
      <c r="J67" s="24">
        <v>330.71190999999999</v>
      </c>
      <c r="K67" s="24">
        <f>384.139-K66</f>
        <v>255.32599999999999</v>
      </c>
      <c r="L67" s="14"/>
      <c r="M67" s="14"/>
      <c r="N67" s="14"/>
    </row>
    <row r="68" spans="1:14" ht="13" hidden="1" outlineLevel="1">
      <c r="A68" s="40" t="s">
        <v>52</v>
      </c>
      <c r="B68" s="40"/>
      <c r="C68" s="51">
        <f t="shared" ref="C68:J68" si="89">IFERROR(C66+C67,"n.a.")</f>
        <v>400.53899999999999</v>
      </c>
      <c r="D68" s="51">
        <f t="shared" si="89"/>
        <v>416.65100000000001</v>
      </c>
      <c r="E68" s="51">
        <f t="shared" si="89"/>
        <v>451.858</v>
      </c>
      <c r="F68" s="51">
        <f t="shared" si="89"/>
        <v>469.19400000000002</v>
      </c>
      <c r="G68" s="51">
        <f t="shared" si="89"/>
        <v>470.577</v>
      </c>
      <c r="H68" s="51">
        <f t="shared" si="89"/>
        <v>741.21699999999998</v>
      </c>
      <c r="I68" s="51">
        <f t="shared" si="89"/>
        <v>419.24948599999999</v>
      </c>
      <c r="J68" s="51">
        <f t="shared" si="89"/>
        <v>444.00990999999999</v>
      </c>
      <c r="K68" s="51">
        <f t="shared" ref="K68" si="90">IFERROR(K66+K67,"n.a.")</f>
        <v>384.13900000000001</v>
      </c>
      <c r="L68" s="14"/>
      <c r="M68" s="14"/>
      <c r="N68" s="14"/>
    </row>
    <row r="69" spans="1:14" ht="13" hidden="1" outlineLevel="1">
      <c r="A69" s="40" t="s">
        <v>174</v>
      </c>
      <c r="B69" s="40"/>
      <c r="C69" s="24">
        <v>0</v>
      </c>
      <c r="D69" s="24">
        <v>27.196000000000002</v>
      </c>
      <c r="E69" s="24">
        <v>38.119</v>
      </c>
      <c r="F69" s="24">
        <v>58.944000000000003</v>
      </c>
      <c r="G69" s="24">
        <v>113.901</v>
      </c>
      <c r="H69" s="24">
        <v>246.883712</v>
      </c>
      <c r="I69" s="24">
        <v>228.75882000000001</v>
      </c>
      <c r="J69" s="24">
        <v>165.96524400000001</v>
      </c>
      <c r="K69" s="24">
        <v>79.904308999999998</v>
      </c>
      <c r="L69" s="14"/>
      <c r="M69" s="14"/>
      <c r="N69" s="14"/>
    </row>
    <row r="70" spans="1:14" ht="13" hidden="1" outlineLevel="1">
      <c r="A70" s="40" t="s">
        <v>55</v>
      </c>
      <c r="B70" s="40"/>
      <c r="C70" s="24">
        <v>33.027000000000001</v>
      </c>
      <c r="D70" s="24">
        <v>0</v>
      </c>
      <c r="E70" s="24">
        <v>0</v>
      </c>
      <c r="F70" s="24">
        <v>0</v>
      </c>
      <c r="G70" s="24">
        <v>0</v>
      </c>
      <c r="H70" s="24">
        <v>0</v>
      </c>
      <c r="I70" s="24">
        <v>0</v>
      </c>
      <c r="J70" s="24">
        <v>0</v>
      </c>
      <c r="K70" s="24">
        <v>0</v>
      </c>
      <c r="L70" s="14"/>
      <c r="M70" s="14"/>
      <c r="N70" s="14"/>
    </row>
    <row r="71" spans="1:14" ht="13" hidden="1" outlineLevel="1">
      <c r="A71" s="40" t="s">
        <v>56</v>
      </c>
      <c r="B71" s="40"/>
      <c r="C71" s="24">
        <v>1118.4369999999999</v>
      </c>
      <c r="D71" s="24">
        <v>1326.9</v>
      </c>
      <c r="E71" s="24">
        <v>1609.8209999999999</v>
      </c>
      <c r="F71" s="24">
        <v>2275.4760000000001</v>
      </c>
      <c r="G71" s="24">
        <v>1884.6489999999999</v>
      </c>
      <c r="H71" s="24">
        <v>1289.7440419999998</v>
      </c>
      <c r="I71" s="24">
        <v>1252.7685419999998</v>
      </c>
      <c r="J71" s="24">
        <v>1502.74145</v>
      </c>
      <c r="K71" s="24">
        <v>1525.8859950000001</v>
      </c>
      <c r="L71" s="14"/>
      <c r="M71" s="14"/>
      <c r="N71" s="14"/>
    </row>
    <row r="72" spans="1:14" ht="13" hidden="1" outlineLevel="1">
      <c r="A72" s="40" t="s">
        <v>53</v>
      </c>
      <c r="B72" s="40"/>
      <c r="C72" s="24">
        <v>35.460999999999999</v>
      </c>
      <c r="D72" s="24">
        <v>41.393000000000001</v>
      </c>
      <c r="E72" s="24">
        <v>41.494</v>
      </c>
      <c r="F72" s="24">
        <v>29.152999999999999</v>
      </c>
      <c r="G72" s="24">
        <v>17.773</v>
      </c>
      <c r="H72" s="24">
        <v>27.648598999999997</v>
      </c>
      <c r="I72" s="24">
        <v>32.574067999999997</v>
      </c>
      <c r="J72" s="24">
        <v>36.989435</v>
      </c>
      <c r="K72" s="24">
        <v>35.087307000000003</v>
      </c>
      <c r="L72" s="14"/>
      <c r="M72" s="14"/>
      <c r="N72" s="14"/>
    </row>
    <row r="73" spans="1:14" ht="13" hidden="1" outlineLevel="2">
      <c r="A73" s="55" t="s">
        <v>232</v>
      </c>
      <c r="B73" s="55"/>
      <c r="C73" s="24">
        <v>21.413</v>
      </c>
      <c r="D73" s="24">
        <v>91.245000000000005</v>
      </c>
      <c r="E73" s="24">
        <v>32.090000000000003</v>
      </c>
      <c r="F73" s="24">
        <v>13.339</v>
      </c>
      <c r="G73" s="24">
        <v>38.848999999999997</v>
      </c>
      <c r="H73" s="24">
        <v>14.223000000000001</v>
      </c>
      <c r="I73" s="24">
        <v>7.36</v>
      </c>
      <c r="J73" s="24">
        <v>16.577000000000002</v>
      </c>
      <c r="K73" s="24">
        <f>4.125</f>
        <v>4.125</v>
      </c>
      <c r="L73" s="14"/>
      <c r="M73" s="14"/>
      <c r="N73" s="14"/>
    </row>
    <row r="74" spans="1:14" ht="13" hidden="1" outlineLevel="2">
      <c r="A74" s="55" t="s">
        <v>231</v>
      </c>
      <c r="B74" s="55"/>
      <c r="C74" s="24">
        <v>6.3569999999999993</v>
      </c>
      <c r="D74" s="24">
        <v>7.3220000000000001</v>
      </c>
      <c r="E74" s="24">
        <v>5.0579999999999998</v>
      </c>
      <c r="F74" s="24">
        <v>4.5609999999999999</v>
      </c>
      <c r="G74" s="24">
        <v>7.713000000000001</v>
      </c>
      <c r="H74" s="24">
        <v>8.4580000000000002</v>
      </c>
      <c r="I74" s="24">
        <v>5.6672859999999998</v>
      </c>
      <c r="J74" s="24">
        <v>5.7461839999999995</v>
      </c>
      <c r="K74" s="24">
        <f>25.549-K73</f>
        <v>21.423999999999999</v>
      </c>
      <c r="L74" s="14"/>
      <c r="M74" s="14"/>
      <c r="N74" s="14"/>
    </row>
    <row r="75" spans="1:14" ht="13" hidden="1" outlineLevel="1">
      <c r="A75" s="40" t="s">
        <v>57</v>
      </c>
      <c r="B75" s="40"/>
      <c r="C75" s="51">
        <f t="shared" ref="C75:J75" si="91">IFERROR(C73+C74,"n.a.")</f>
        <v>27.77</v>
      </c>
      <c r="D75" s="51">
        <f t="shared" si="91"/>
        <v>98.567000000000007</v>
      </c>
      <c r="E75" s="51">
        <f t="shared" si="91"/>
        <v>37.148000000000003</v>
      </c>
      <c r="F75" s="51">
        <f t="shared" si="91"/>
        <v>17.899999999999999</v>
      </c>
      <c r="G75" s="51">
        <f t="shared" si="91"/>
        <v>46.561999999999998</v>
      </c>
      <c r="H75" s="51">
        <f t="shared" si="91"/>
        <v>22.681000000000001</v>
      </c>
      <c r="I75" s="51">
        <f t="shared" si="91"/>
        <v>13.027286</v>
      </c>
      <c r="J75" s="51">
        <f t="shared" si="91"/>
        <v>22.323184000000001</v>
      </c>
      <c r="K75" s="51">
        <f t="shared" ref="K75" si="92">IFERROR(K73+K74,"n.a.")</f>
        <v>25.548999999999999</v>
      </c>
      <c r="L75" s="14"/>
      <c r="M75" s="14"/>
      <c r="N75" s="14"/>
    </row>
    <row r="76" spans="1:14" s="14" customFormat="1" ht="13" collapsed="1">
      <c r="A76" s="57" t="s">
        <v>58</v>
      </c>
      <c r="B76" s="57"/>
      <c r="C76" s="54">
        <f t="shared" ref="C76:H76" si="93">IFERROR(C64+C65+C68+C69+C70+C71+C72+C75,"n.a.")</f>
        <v>3208.3889999999997</v>
      </c>
      <c r="D76" s="54">
        <f t="shared" si="93"/>
        <v>3667.1409999999996</v>
      </c>
      <c r="E76" s="54">
        <f t="shared" si="93"/>
        <v>3921.5880000000002</v>
      </c>
      <c r="F76" s="54">
        <f t="shared" si="93"/>
        <v>4284.7730000000001</v>
      </c>
      <c r="G76" s="54">
        <f t="shared" si="93"/>
        <v>4284.8329999999996</v>
      </c>
      <c r="H76" s="54">
        <f t="shared" si="93"/>
        <v>4422.3361679999989</v>
      </c>
      <c r="I76" s="54">
        <f t="shared" ref="I76:J76" si="94">IFERROR(I64+I65+I68+I69+I70+I71+I72+I75,"n.a.")</f>
        <v>3967.2205709999998</v>
      </c>
      <c r="J76" s="54">
        <f t="shared" si="94"/>
        <v>4262.6510980000003</v>
      </c>
      <c r="K76" s="54">
        <f t="shared" ref="K76" si="95">IFERROR(K64+K65+K68+K69+K70+K71+K72+K75,"n.a.")</f>
        <v>4134.659705</v>
      </c>
    </row>
    <row r="77" spans="1:14" ht="13" hidden="1" outlineLevel="1">
      <c r="A77" s="117" t="s">
        <v>2</v>
      </c>
      <c r="B77" s="16"/>
      <c r="C77" s="24">
        <v>60.728999999999999</v>
      </c>
      <c r="D77" s="24">
        <v>10.677</v>
      </c>
      <c r="E77" s="24">
        <v>0</v>
      </c>
      <c r="F77" s="24">
        <v>0</v>
      </c>
      <c r="G77" s="24">
        <v>0</v>
      </c>
      <c r="H77" s="24">
        <v>0</v>
      </c>
      <c r="I77" s="24">
        <v>0</v>
      </c>
      <c r="J77" s="24">
        <v>0</v>
      </c>
      <c r="K77" s="24">
        <v>0</v>
      </c>
      <c r="L77" s="14"/>
      <c r="M77" s="14"/>
      <c r="N77" s="14"/>
    </row>
    <row r="78" spans="1:14" s="14" customFormat="1" ht="13" collapsed="1">
      <c r="A78" s="64" t="s">
        <v>3</v>
      </c>
      <c r="B78" s="64"/>
      <c r="C78" s="65">
        <f t="shared" ref="C78:H78" si="96">IFERROR(C63+C76+C77,"n.a.")</f>
        <v>12733.884999999997</v>
      </c>
      <c r="D78" s="65">
        <f t="shared" si="96"/>
        <v>13031.697</v>
      </c>
      <c r="E78" s="65">
        <f t="shared" si="96"/>
        <v>13934.454</v>
      </c>
      <c r="F78" s="65">
        <f t="shared" si="96"/>
        <v>13738.59</v>
      </c>
      <c r="G78" s="65">
        <f t="shared" si="96"/>
        <v>13883.172999999999</v>
      </c>
      <c r="H78" s="65">
        <f t="shared" si="96"/>
        <v>13897.548717999998</v>
      </c>
      <c r="I78" s="65">
        <f t="shared" ref="I78:J78" si="97">IFERROR(I63+I76+I77,"n.a.")</f>
        <v>13530.928022999999</v>
      </c>
      <c r="J78" s="65">
        <f t="shared" si="97"/>
        <v>13680.621429000001</v>
      </c>
      <c r="K78" s="65">
        <f t="shared" ref="K78" si="98">IFERROR(K63+K76+K77,"n.a.")</f>
        <v>13353.184091000001</v>
      </c>
    </row>
    <row r="79" spans="1:14" ht="13">
      <c r="C79" s="22"/>
      <c r="D79" s="22"/>
      <c r="E79" s="22"/>
      <c r="F79" s="22"/>
      <c r="G79" s="22"/>
      <c r="H79" s="22"/>
      <c r="I79" s="22"/>
      <c r="J79" s="22"/>
      <c r="K79" s="22"/>
      <c r="L79" s="14"/>
      <c r="M79" s="14"/>
      <c r="N79" s="14"/>
    </row>
    <row r="81" spans="1:11" ht="13.5" thickBot="1">
      <c r="A81" s="9" t="s">
        <v>62</v>
      </c>
      <c r="B81" s="9"/>
      <c r="C81" s="10" t="str">
        <f t="shared" ref="C81:E82" si="99">C4</f>
        <v>FY 2017</v>
      </c>
      <c r="D81" s="10" t="str">
        <f t="shared" si="99"/>
        <v>FY 2018</v>
      </c>
      <c r="E81" s="10" t="str">
        <f t="shared" si="99"/>
        <v>FY 2019</v>
      </c>
      <c r="F81" s="10" t="str">
        <f t="shared" ref="F81:H82" si="100">F4</f>
        <v>FY 2020</v>
      </c>
      <c r="G81" s="10" t="str">
        <f t="shared" si="100"/>
        <v>FY 2021</v>
      </c>
      <c r="H81" s="10" t="str">
        <f t="shared" si="100"/>
        <v>FY 2022</v>
      </c>
      <c r="I81" s="10" t="str">
        <f t="shared" ref="I81:J81" si="101">I4</f>
        <v>FY 2023</v>
      </c>
      <c r="J81" s="10" t="str">
        <f t="shared" si="101"/>
        <v>FY 2024</v>
      </c>
      <c r="K81" s="10" t="str">
        <f t="shared" ref="K81" si="102">K4</f>
        <v>FY 2025</v>
      </c>
    </row>
    <row r="82" spans="1:11">
      <c r="C82" s="20" t="str">
        <f t="shared" si="99"/>
        <v>reported</v>
      </c>
      <c r="D82" s="20" t="str">
        <f t="shared" si="99"/>
        <v>reported</v>
      </c>
      <c r="F82" s="20" t="str">
        <f t="shared" si="100"/>
        <v>reported</v>
      </c>
      <c r="G82" s="20" t="str">
        <f t="shared" si="100"/>
        <v>reported</v>
      </c>
      <c r="H82" s="20" t="str">
        <f t="shared" si="100"/>
        <v>reported</v>
      </c>
      <c r="I82" s="20" t="str">
        <f t="shared" ref="I82:J82" si="103">I5</f>
        <v>reported</v>
      </c>
      <c r="J82" s="20" t="str">
        <f t="shared" si="103"/>
        <v>reported</v>
      </c>
      <c r="K82" s="20" t="str">
        <f t="shared" ref="K82" si="104">K5</f>
        <v>reported</v>
      </c>
    </row>
    <row r="84" spans="1:11" hidden="1" outlineLevel="1">
      <c r="A84" s="41" t="s">
        <v>63</v>
      </c>
      <c r="B84" s="41"/>
      <c r="C84" s="23">
        <v>3897.0889999999999</v>
      </c>
      <c r="D84" s="23">
        <v>3929.0790000000002</v>
      </c>
      <c r="E84" s="23">
        <v>3949.8359999999998</v>
      </c>
      <c r="F84" s="23">
        <v>4970.9859999999999</v>
      </c>
      <c r="G84" s="23">
        <v>3789.3690000000001</v>
      </c>
      <c r="H84" s="23">
        <v>3690.1106889999996</v>
      </c>
      <c r="I84" s="23">
        <v>3174.6777829999996</v>
      </c>
      <c r="J84" s="23">
        <v>3068.598262</v>
      </c>
      <c r="K84" s="23">
        <v>2747.192235</v>
      </c>
    </row>
    <row r="85" spans="1:11" hidden="1" outlineLevel="1">
      <c r="A85" s="40" t="s">
        <v>64</v>
      </c>
      <c r="B85" s="40"/>
      <c r="C85" s="24">
        <v>74.435000000000002</v>
      </c>
      <c r="D85" s="24">
        <v>83.287000000000006</v>
      </c>
      <c r="E85" s="24">
        <v>90.570999999999998</v>
      </c>
      <c r="F85" s="24">
        <v>77.28</v>
      </c>
      <c r="G85" s="24">
        <v>76.484999999999999</v>
      </c>
      <c r="H85" s="24">
        <v>74.574176000000008</v>
      </c>
      <c r="I85" s="24">
        <v>77.932091</v>
      </c>
      <c r="J85" s="24">
        <v>79.94665599999999</v>
      </c>
      <c r="K85" s="24">
        <v>78.054889000000003</v>
      </c>
    </row>
    <row r="86" spans="1:11" hidden="1" outlineLevel="1">
      <c r="A86" s="40" t="s">
        <v>65</v>
      </c>
      <c r="B86" s="40"/>
      <c r="C86" s="24">
        <v>127.124</v>
      </c>
      <c r="D86" s="24">
        <v>138.327</v>
      </c>
      <c r="E86" s="24">
        <v>120.46899999999999</v>
      </c>
      <c r="F86" s="24">
        <v>73.257000000000005</v>
      </c>
      <c r="G86" s="24">
        <v>81.17</v>
      </c>
      <c r="H86" s="24">
        <v>101.676463</v>
      </c>
      <c r="I86" s="24">
        <v>109.547861</v>
      </c>
      <c r="J86" s="24">
        <v>101.122792</v>
      </c>
      <c r="K86" s="24">
        <v>84.822580000000002</v>
      </c>
    </row>
    <row r="87" spans="1:11" hidden="1" outlineLevel="1">
      <c r="A87" s="40" t="s">
        <v>253</v>
      </c>
      <c r="B87" s="40"/>
      <c r="C87" s="24">
        <v>1216.635</v>
      </c>
      <c r="D87" s="24">
        <v>1081.605</v>
      </c>
      <c r="E87" s="24">
        <v>1058.76</v>
      </c>
      <c r="F87" s="24">
        <v>1006.799</v>
      </c>
      <c r="G87" s="24">
        <v>1033.8920000000001</v>
      </c>
      <c r="H87" s="24">
        <v>1041.8480300000001</v>
      </c>
      <c r="I87" s="24">
        <v>990.870273</v>
      </c>
      <c r="J87" s="24">
        <v>990.24967200000003</v>
      </c>
      <c r="K87" s="24">
        <v>956.06334900000002</v>
      </c>
    </row>
    <row r="88" spans="1:11" hidden="1" outlineLevel="1">
      <c r="A88" s="40" t="s">
        <v>254</v>
      </c>
      <c r="B88" s="40"/>
      <c r="C88" s="24">
        <v>274.03699999999998</v>
      </c>
      <c r="D88" s="24">
        <v>224.31200000000001</v>
      </c>
      <c r="E88" s="24">
        <v>260.83199999999999</v>
      </c>
      <c r="F88" s="24">
        <v>243.93100000000001</v>
      </c>
      <c r="G88" s="24">
        <v>220.59800000000001</v>
      </c>
      <c r="H88" s="24">
        <v>180.557569</v>
      </c>
      <c r="I88" s="24">
        <v>180.218389</v>
      </c>
      <c r="J88" s="24">
        <v>184.03990999999999</v>
      </c>
      <c r="K88" s="24">
        <v>171.83861899999999</v>
      </c>
    </row>
    <row r="89" spans="1:11" hidden="1" outlineLevel="1">
      <c r="A89" s="40" t="s">
        <v>66</v>
      </c>
      <c r="B89" s="40"/>
      <c r="C89" s="24">
        <v>2.399</v>
      </c>
      <c r="D89" s="24">
        <v>2.0910000000000002</v>
      </c>
      <c r="E89" s="24">
        <v>12.555</v>
      </c>
      <c r="F89" s="24">
        <v>10.795</v>
      </c>
      <c r="G89" s="24">
        <v>11.512</v>
      </c>
      <c r="H89" s="24">
        <v>12.780031000000001</v>
      </c>
      <c r="I89" s="24">
        <v>14.390852000000001</v>
      </c>
      <c r="J89" s="24">
        <v>4.0014760000000003</v>
      </c>
      <c r="K89" s="24">
        <v>4.0869629999999999</v>
      </c>
    </row>
    <row r="90" spans="1:11" hidden="1" outlineLevel="2">
      <c r="A90" s="40" t="s">
        <v>184</v>
      </c>
      <c r="B90" s="40"/>
      <c r="C90" s="24">
        <v>54.963000000000001</v>
      </c>
      <c r="D90" s="24">
        <v>13.738</v>
      </c>
      <c r="E90" s="24">
        <v>10.327</v>
      </c>
      <c r="F90" s="24">
        <v>87.600999999999999</v>
      </c>
      <c r="G90" s="24">
        <v>3.5190000000000001</v>
      </c>
      <c r="H90" s="24">
        <v>0</v>
      </c>
      <c r="I90" s="24">
        <v>0</v>
      </c>
      <c r="J90" s="24">
        <v>0</v>
      </c>
      <c r="K90" s="24">
        <v>0</v>
      </c>
    </row>
    <row r="91" spans="1:11" hidden="1" outlineLevel="2">
      <c r="A91" s="40" t="s">
        <v>185</v>
      </c>
      <c r="B91" s="40"/>
      <c r="C91" s="24">
        <v>0</v>
      </c>
      <c r="D91" s="24">
        <v>2.3010000000000019</v>
      </c>
      <c r="E91" s="24">
        <v>0</v>
      </c>
      <c r="F91" s="24">
        <v>0</v>
      </c>
      <c r="G91" s="24">
        <v>0</v>
      </c>
      <c r="H91" s="24">
        <v>0</v>
      </c>
      <c r="I91" s="24">
        <v>0</v>
      </c>
      <c r="J91" s="24">
        <v>0</v>
      </c>
      <c r="K91" s="24">
        <v>0</v>
      </c>
    </row>
    <row r="92" spans="1:11" hidden="1" outlineLevel="1">
      <c r="A92" s="40" t="s">
        <v>57</v>
      </c>
      <c r="B92" s="40"/>
      <c r="C92" s="51">
        <f t="shared" ref="C92:D92" si="105">IFERROR(C90+C91,"n.a.")</f>
        <v>54.963000000000001</v>
      </c>
      <c r="D92" s="51">
        <f t="shared" si="105"/>
        <v>16.039000000000001</v>
      </c>
      <c r="E92" s="51">
        <f t="shared" ref="E92:J92" si="106">IFERROR(E90+E91,"n.a.")</f>
        <v>10.327</v>
      </c>
      <c r="F92" s="51">
        <f t="shared" si="106"/>
        <v>87.600999999999999</v>
      </c>
      <c r="G92" s="51">
        <f t="shared" si="106"/>
        <v>3.5190000000000001</v>
      </c>
      <c r="H92" s="51">
        <f t="shared" si="106"/>
        <v>0</v>
      </c>
      <c r="I92" s="51">
        <f t="shared" si="106"/>
        <v>0</v>
      </c>
      <c r="J92" s="51">
        <f t="shared" si="106"/>
        <v>0</v>
      </c>
      <c r="K92" s="51">
        <f t="shared" ref="K92" si="107">IFERROR(K90+K91,"n.a.")</f>
        <v>0</v>
      </c>
    </row>
    <row r="93" spans="1:11" s="14" customFormat="1" ht="13" collapsed="1">
      <c r="A93" s="57" t="s">
        <v>5</v>
      </c>
      <c r="B93" s="57"/>
      <c r="C93" s="54">
        <f t="shared" ref="C93:H93" si="108">IFERROR(C84+C85+C86+C87+C88+C89+C92,"n.a.")</f>
        <v>5646.6820000000007</v>
      </c>
      <c r="D93" s="54">
        <f t="shared" si="108"/>
        <v>5474.7400000000007</v>
      </c>
      <c r="E93" s="54">
        <f t="shared" si="108"/>
        <v>5503.35</v>
      </c>
      <c r="F93" s="54">
        <f t="shared" si="108"/>
        <v>6470.6489999999985</v>
      </c>
      <c r="G93" s="54">
        <f t="shared" si="108"/>
        <v>5216.5450000000001</v>
      </c>
      <c r="H93" s="54">
        <f t="shared" si="108"/>
        <v>5101.5469579999999</v>
      </c>
      <c r="I93" s="54">
        <f t="shared" ref="I93:J93" si="109">IFERROR(I84+I85+I86+I87+I88+I89+I92,"n.a.")</f>
        <v>4547.6372489999994</v>
      </c>
      <c r="J93" s="54">
        <f t="shared" si="109"/>
        <v>4427.9587680000013</v>
      </c>
      <c r="K93" s="54">
        <f t="shared" ref="K93" si="110">IFERROR(K84+K85+K86+K87+K88+K89+K92,"n.a.")</f>
        <v>4042.0586350000003</v>
      </c>
    </row>
    <row r="94" spans="1:11" hidden="1" outlineLevel="1">
      <c r="A94" s="40" t="s">
        <v>63</v>
      </c>
      <c r="B94" s="40"/>
      <c r="C94" s="24">
        <v>559.16800000000001</v>
      </c>
      <c r="D94" s="24">
        <v>800.14499999999998</v>
      </c>
      <c r="E94" s="24">
        <v>1419.403</v>
      </c>
      <c r="F94" s="24">
        <v>883.56700000000001</v>
      </c>
      <c r="G94" s="24">
        <v>1489.249</v>
      </c>
      <c r="H94" s="24">
        <v>800.38852500000007</v>
      </c>
      <c r="I94" s="24">
        <v>789.52709699999991</v>
      </c>
      <c r="J94" s="24">
        <v>760.85669799999994</v>
      </c>
      <c r="K94" s="24">
        <v>210.60224500000001</v>
      </c>
    </row>
    <row r="95" spans="1:11" hidden="1" outlineLevel="1">
      <c r="A95" s="40" t="s">
        <v>39</v>
      </c>
      <c r="B95" s="40"/>
      <c r="C95" s="24">
        <v>1673.6420000000001</v>
      </c>
      <c r="D95" s="24">
        <v>1604.6769999999999</v>
      </c>
      <c r="E95" s="24">
        <f>1611.488+109.6</f>
        <v>1721.088</v>
      </c>
      <c r="F95" s="24">
        <v>1316.971</v>
      </c>
      <c r="G95" s="24">
        <v>1626.367</v>
      </c>
      <c r="H95" s="24">
        <v>1973.296439</v>
      </c>
      <c r="I95" s="24">
        <v>1999.4181839999999</v>
      </c>
      <c r="J95" s="24">
        <v>2081.6171899999999</v>
      </c>
      <c r="K95" s="24">
        <v>2082.442129</v>
      </c>
    </row>
    <row r="96" spans="1:11" hidden="1" outlineLevel="1">
      <c r="A96" s="40" t="s">
        <v>172</v>
      </c>
      <c r="B96" s="40"/>
      <c r="C96" s="24">
        <v>0</v>
      </c>
      <c r="D96" s="24">
        <v>0</v>
      </c>
      <c r="E96" s="24">
        <v>0</v>
      </c>
      <c r="F96" s="24">
        <v>0</v>
      </c>
      <c r="G96" s="24">
        <v>0</v>
      </c>
      <c r="H96" s="24">
        <v>0</v>
      </c>
      <c r="I96" s="24">
        <v>0</v>
      </c>
      <c r="J96" s="24">
        <v>0</v>
      </c>
      <c r="K96" s="24">
        <v>0</v>
      </c>
    </row>
    <row r="97" spans="1:11" hidden="1" outlineLevel="1">
      <c r="A97" s="40" t="s">
        <v>64</v>
      </c>
      <c r="B97" s="40"/>
      <c r="C97" s="24">
        <v>565.255</v>
      </c>
      <c r="D97" s="24">
        <v>436.75200000000001</v>
      </c>
      <c r="E97" s="24">
        <f>402.757-109.6</f>
        <v>293.15700000000004</v>
      </c>
      <c r="F97" s="24">
        <v>325.26600000000002</v>
      </c>
      <c r="G97" s="24">
        <v>314.20299999999997</v>
      </c>
      <c r="H97" s="24">
        <v>405.57827400000104</v>
      </c>
      <c r="I97" s="24">
        <v>412.17326800000001</v>
      </c>
      <c r="J97" s="24">
        <v>392.74410999999998</v>
      </c>
      <c r="K97" s="24">
        <v>375.58600000000001</v>
      </c>
    </row>
    <row r="98" spans="1:11" hidden="1" outlineLevel="1">
      <c r="A98" s="40" t="s">
        <v>65</v>
      </c>
      <c r="B98" s="40"/>
      <c r="C98" s="24">
        <v>45.832999999999998</v>
      </c>
      <c r="D98" s="24">
        <v>33.875999999999998</v>
      </c>
      <c r="E98" s="24">
        <v>43.527999999999999</v>
      </c>
      <c r="F98" s="24">
        <v>48.082999999999998</v>
      </c>
      <c r="G98" s="24">
        <v>43.594000000000001</v>
      </c>
      <c r="H98" s="24">
        <v>41.250008000000001</v>
      </c>
      <c r="I98" s="24">
        <v>35.322690999999999</v>
      </c>
      <c r="J98" s="24">
        <v>31.363358000000002</v>
      </c>
      <c r="K98" s="24">
        <v>47.280999999999999</v>
      </c>
    </row>
    <row r="99" spans="1:11" hidden="1" outlineLevel="1">
      <c r="A99" s="40" t="s">
        <v>254</v>
      </c>
      <c r="B99" s="40"/>
      <c r="C99" s="24">
        <v>0</v>
      </c>
      <c r="D99" s="24">
        <v>5.4749999999999996</v>
      </c>
      <c r="E99" s="24">
        <v>4.1040000000000001</v>
      </c>
      <c r="F99" s="24">
        <v>5.0129999999999999</v>
      </c>
      <c r="G99" s="24">
        <v>0</v>
      </c>
      <c r="H99" s="24">
        <v>0</v>
      </c>
      <c r="I99" s="24">
        <v>0.82017100000000009</v>
      </c>
      <c r="J99" s="24">
        <v>0.55659900000000007</v>
      </c>
      <c r="K99" s="24">
        <v>4.6382E-2</v>
      </c>
    </row>
    <row r="100" spans="1:11" hidden="1" outlineLevel="1">
      <c r="A100" s="40" t="s">
        <v>66</v>
      </c>
      <c r="B100" s="40"/>
      <c r="C100" s="24">
        <v>48.415999999999997</v>
      </c>
      <c r="D100" s="24">
        <v>65.503</v>
      </c>
      <c r="E100" s="24">
        <v>81.766000000000005</v>
      </c>
      <c r="F100" s="24">
        <v>99.504999999999995</v>
      </c>
      <c r="G100" s="24">
        <v>134.38800000000001</v>
      </c>
      <c r="H100" s="24">
        <v>102.104495</v>
      </c>
      <c r="I100" s="24">
        <v>105.192531</v>
      </c>
      <c r="J100" s="24">
        <v>63.150044000000001</v>
      </c>
      <c r="K100" s="24">
        <v>132.29600500000001</v>
      </c>
    </row>
    <row r="101" spans="1:11" hidden="1" outlineLevel="2">
      <c r="A101" s="55" t="s">
        <v>232</v>
      </c>
      <c r="B101" s="55"/>
      <c r="C101" s="24">
        <v>11.247999999999999</v>
      </c>
      <c r="D101" s="24">
        <v>53.51</v>
      </c>
      <c r="E101" s="24">
        <v>31.702999999999999</v>
      </c>
      <c r="F101" s="24">
        <v>32.499000000000002</v>
      </c>
      <c r="G101" s="24">
        <v>10.331</v>
      </c>
      <c r="H101" s="24">
        <v>15.1</v>
      </c>
      <c r="I101" s="24">
        <v>18.184000000000001</v>
      </c>
      <c r="J101" s="24">
        <v>3.5030000000000001</v>
      </c>
      <c r="K101" s="24">
        <v>2.6480000000000001</v>
      </c>
    </row>
    <row r="102" spans="1:11" hidden="1" outlineLevel="2">
      <c r="A102" s="55" t="s">
        <v>231</v>
      </c>
      <c r="B102" s="55"/>
      <c r="C102" s="24">
        <v>6.6620000000000008</v>
      </c>
      <c r="D102" s="24">
        <v>6.0919999999999987</v>
      </c>
      <c r="E102" s="24">
        <v>9.7240000000000002</v>
      </c>
      <c r="F102" s="24">
        <v>5.1869999999999976</v>
      </c>
      <c r="G102" s="24">
        <v>5.8569999999999993</v>
      </c>
      <c r="H102" s="24">
        <v>4.5119999999999996</v>
      </c>
      <c r="I102" s="24">
        <v>3.0578669999999981</v>
      </c>
      <c r="J102" s="24">
        <v>6.6175490000000003</v>
      </c>
      <c r="K102" s="24">
        <f>6.134-K101</f>
        <v>3.4860000000000002</v>
      </c>
    </row>
    <row r="103" spans="1:11" hidden="1" outlineLevel="1">
      <c r="A103" s="40" t="s">
        <v>57</v>
      </c>
      <c r="B103" s="40"/>
      <c r="C103" s="51">
        <f t="shared" ref="C103:D103" si="111">IFERROR(C101+C102,"n.a.")</f>
        <v>17.91</v>
      </c>
      <c r="D103" s="51">
        <f t="shared" si="111"/>
        <v>59.601999999999997</v>
      </c>
      <c r="E103" s="51">
        <f t="shared" ref="E103:J103" si="112">IFERROR(E101+E102,"n.a.")</f>
        <v>41.427</v>
      </c>
      <c r="F103" s="51">
        <f t="shared" si="112"/>
        <v>37.686</v>
      </c>
      <c r="G103" s="51">
        <f t="shared" si="112"/>
        <v>16.187999999999999</v>
      </c>
      <c r="H103" s="51">
        <f t="shared" si="112"/>
        <v>19.611999999999998</v>
      </c>
      <c r="I103" s="51">
        <f t="shared" si="112"/>
        <v>21.241866999999999</v>
      </c>
      <c r="J103" s="51">
        <f t="shared" si="112"/>
        <v>10.120549</v>
      </c>
      <c r="K103" s="51">
        <f t="shared" ref="K103" si="113">IFERROR(K101+K102,"n.a.")</f>
        <v>6.1340000000000003</v>
      </c>
    </row>
    <row r="104" spans="1:11" s="14" customFormat="1" ht="13" collapsed="1">
      <c r="A104" s="57" t="s">
        <v>6</v>
      </c>
      <c r="B104" s="57"/>
      <c r="C104" s="54">
        <f t="shared" ref="C104:H104" si="114">IFERROR(C94+C95+C96+C97+C98+C99+C100+C103,"n.a.")</f>
        <v>2910.2240000000002</v>
      </c>
      <c r="D104" s="54">
        <f t="shared" si="114"/>
        <v>3006.03</v>
      </c>
      <c r="E104" s="54">
        <f t="shared" si="114"/>
        <v>3604.473</v>
      </c>
      <c r="F104" s="54">
        <f t="shared" si="114"/>
        <v>2716.0910000000003</v>
      </c>
      <c r="G104" s="54">
        <f t="shared" si="114"/>
        <v>3623.989</v>
      </c>
      <c r="H104" s="54">
        <f t="shared" si="114"/>
        <v>3342.229741000001</v>
      </c>
      <c r="I104" s="54">
        <f t="shared" ref="I104:J104" si="115">IFERROR(I94+I95+I96+I97+I98+I99+I100+I103,"n.a.")</f>
        <v>3363.6958089999998</v>
      </c>
      <c r="J104" s="54">
        <f t="shared" si="115"/>
        <v>3340.4085480000003</v>
      </c>
      <c r="K104" s="54">
        <f t="shared" ref="K104" si="116">IFERROR(K94+K95+K96+K97+K98+K99+K100+K103,"n.a.")</f>
        <v>2854.3877610000004</v>
      </c>
    </row>
    <row r="105" spans="1:11" hidden="1" outlineLevel="1">
      <c r="A105" s="16" t="s">
        <v>7</v>
      </c>
      <c r="B105" s="16"/>
      <c r="C105" s="24">
        <v>0</v>
      </c>
      <c r="D105" s="24">
        <v>0</v>
      </c>
      <c r="E105" s="24">
        <v>0</v>
      </c>
      <c r="F105" s="24">
        <v>0</v>
      </c>
      <c r="G105" s="24">
        <v>0</v>
      </c>
      <c r="H105" s="24">
        <v>0</v>
      </c>
      <c r="I105" s="24">
        <v>0</v>
      </c>
      <c r="J105" s="24">
        <v>0</v>
      </c>
      <c r="K105" s="24">
        <v>0</v>
      </c>
    </row>
    <row r="106" spans="1:11" s="14" customFormat="1" ht="13" collapsed="1">
      <c r="A106" s="64" t="s">
        <v>67</v>
      </c>
      <c r="B106" s="64"/>
      <c r="C106" s="65">
        <f t="shared" ref="C106:G106" si="117">IFERROR(C93+C104+C105,"n.a.")</f>
        <v>8556.9060000000009</v>
      </c>
      <c r="D106" s="65">
        <f t="shared" si="117"/>
        <v>8480.77</v>
      </c>
      <c r="E106" s="65">
        <f t="shared" si="117"/>
        <v>9107.8230000000003</v>
      </c>
      <c r="F106" s="65">
        <f t="shared" si="117"/>
        <v>9186.739999999998</v>
      </c>
      <c r="G106" s="65">
        <f t="shared" si="117"/>
        <v>8840.5339999999997</v>
      </c>
      <c r="H106" s="65">
        <f>IFERROR(H93+H104+H105-0.1,"n.a.")</f>
        <v>8443.6766990000015</v>
      </c>
      <c r="I106" s="65">
        <f>IFERROR(I93+I104+I105,"n.a.")</f>
        <v>7911.3330579999993</v>
      </c>
      <c r="J106" s="65">
        <f>IFERROR(J93+J104+J105,"n.a.")</f>
        <v>7768.3673160000017</v>
      </c>
      <c r="K106" s="65">
        <f>IFERROR(K93+K104+K105,"n.a.")</f>
        <v>6896.4463960000012</v>
      </c>
    </row>
    <row r="107" spans="1:11">
      <c r="C107" s="22"/>
      <c r="D107" s="22"/>
      <c r="E107" s="22"/>
      <c r="F107" s="22"/>
      <c r="G107" s="22"/>
      <c r="H107" s="22"/>
      <c r="I107" s="22"/>
      <c r="J107" s="22"/>
      <c r="K107" s="22"/>
    </row>
    <row r="108" spans="1:11" hidden="1" outlineLevel="1">
      <c r="A108" s="41" t="s">
        <v>59</v>
      </c>
      <c r="B108" s="41"/>
      <c r="C108" s="23">
        <v>1904.375</v>
      </c>
      <c r="D108" s="23">
        <v>1904.375</v>
      </c>
      <c r="E108" s="23">
        <v>1904.375</v>
      </c>
      <c r="F108" s="23">
        <v>1904.375</v>
      </c>
      <c r="G108" s="23">
        <v>1904.375</v>
      </c>
      <c r="H108" s="23">
        <v>1904.375</v>
      </c>
      <c r="I108" s="23">
        <v>1904.3749359999999</v>
      </c>
      <c r="J108" s="23">
        <v>1904.3749359999999</v>
      </c>
      <c r="K108" s="23">
        <v>2065.6506089999998</v>
      </c>
    </row>
    <row r="109" spans="1:11" hidden="1" outlineLevel="1">
      <c r="A109" s="40" t="s">
        <v>60</v>
      </c>
      <c r="B109" s="40"/>
      <c r="C109" s="24">
        <v>2035.991</v>
      </c>
      <c r="D109" s="24">
        <v>2132.14</v>
      </c>
      <c r="E109" s="24">
        <v>2381.94</v>
      </c>
      <c r="F109" s="24">
        <v>2513.2620000000002</v>
      </c>
      <c r="G109" s="24">
        <v>2700.9409999999998</v>
      </c>
      <c r="H109" s="24">
        <v>3001.6591469999998</v>
      </c>
      <c r="I109" s="24">
        <v>3110.9381250000001</v>
      </c>
      <c r="J109" s="24">
        <v>3383.7154949999999</v>
      </c>
      <c r="K109" s="24">
        <v>3714.6697199999999</v>
      </c>
    </row>
    <row r="110" spans="1:11" hidden="1" outlineLevel="1">
      <c r="A110" s="40" t="s">
        <v>18</v>
      </c>
      <c r="B110" s="40"/>
      <c r="C110" s="24">
        <v>176.392</v>
      </c>
      <c r="D110" s="24">
        <v>431.60599999999999</v>
      </c>
      <c r="E110" s="24">
        <v>438.13400000000001</v>
      </c>
      <c r="F110" s="24">
        <v>29.780999999999999</v>
      </c>
      <c r="G110" s="24">
        <v>302.79599999999999</v>
      </c>
      <c r="H110" s="24">
        <v>417.759973</v>
      </c>
      <c r="I110" s="24">
        <v>479.07972799999999</v>
      </c>
      <c r="J110" s="24">
        <v>467.980976</v>
      </c>
      <c r="K110" s="24">
        <v>497.52713499999999</v>
      </c>
    </row>
    <row r="111" spans="1:11" s="14" customFormat="1" ht="13" hidden="1" outlineLevel="1">
      <c r="A111" s="16" t="s">
        <v>14</v>
      </c>
      <c r="B111" s="16"/>
      <c r="C111" s="32">
        <f t="shared" ref="C111:H111" si="118">IFERROR(C108+C109+C110,"n.a.")</f>
        <v>4116.7579999999998</v>
      </c>
      <c r="D111" s="32">
        <f t="shared" si="118"/>
        <v>4468.1210000000001</v>
      </c>
      <c r="E111" s="32">
        <f t="shared" si="118"/>
        <v>4724.4490000000005</v>
      </c>
      <c r="F111" s="32">
        <f t="shared" si="118"/>
        <v>4447.4180000000006</v>
      </c>
      <c r="G111" s="32">
        <f t="shared" si="118"/>
        <v>4908.1120000000001</v>
      </c>
      <c r="H111" s="32">
        <f t="shared" si="118"/>
        <v>5323.7941200000005</v>
      </c>
      <c r="I111" s="32">
        <f t="shared" ref="I111:J111" si="119">IFERROR(I108+I109+I110,"n.a.")</f>
        <v>5494.3927889999995</v>
      </c>
      <c r="J111" s="32">
        <f t="shared" si="119"/>
        <v>5756.0714069999995</v>
      </c>
      <c r="K111" s="32">
        <f t="shared" ref="K111" si="120">IFERROR(K108+K109+K110,"n.a.")</f>
        <v>6277.8474640000004</v>
      </c>
    </row>
    <row r="112" spans="1:11" hidden="1" outlineLevel="1">
      <c r="A112" s="40" t="s">
        <v>60</v>
      </c>
      <c r="B112" s="40"/>
      <c r="C112" s="24">
        <v>60.936</v>
      </c>
      <c r="D112" s="24">
        <v>72.040000000000006</v>
      </c>
      <c r="E112" s="24">
        <v>82.619</v>
      </c>
      <c r="F112" s="24">
        <v>91.54</v>
      </c>
      <c r="G112" s="24">
        <v>115.73</v>
      </c>
      <c r="H112" s="24">
        <v>111.89399800000001</v>
      </c>
      <c r="I112" s="24">
        <v>108.37621799999999</v>
      </c>
      <c r="J112" s="24">
        <v>123.059996</v>
      </c>
      <c r="K112" s="24">
        <v>145.72007600000001</v>
      </c>
    </row>
    <row r="113" spans="1:11" hidden="1" outlineLevel="1">
      <c r="A113" s="40" t="s">
        <v>18</v>
      </c>
      <c r="B113" s="40"/>
      <c r="C113" s="24">
        <v>-0.68500000000000005</v>
      </c>
      <c r="D113" s="24">
        <v>10.766</v>
      </c>
      <c r="E113" s="24">
        <v>19.562999999999999</v>
      </c>
      <c r="F113" s="24">
        <v>12.891999999999999</v>
      </c>
      <c r="G113" s="24">
        <v>18.797000000000001</v>
      </c>
      <c r="H113" s="24">
        <v>18.1402</v>
      </c>
      <c r="I113" s="24">
        <v>16.824957999999999</v>
      </c>
      <c r="J113" s="24">
        <v>33.122660000000003</v>
      </c>
      <c r="K113" s="24">
        <v>33.169361000000002</v>
      </c>
    </row>
    <row r="114" spans="1:11" s="14" customFormat="1" ht="13" hidden="1" outlineLevel="1">
      <c r="A114" s="16" t="s">
        <v>15</v>
      </c>
      <c r="B114" s="16"/>
      <c r="C114" s="32">
        <f t="shared" ref="C114:H114" si="121">IFERROR(C112+C113,"n.a.")</f>
        <v>60.250999999999998</v>
      </c>
      <c r="D114" s="140">
        <f t="shared" si="121"/>
        <v>82.806000000000012</v>
      </c>
      <c r="E114" s="32">
        <f t="shared" si="121"/>
        <v>102.182</v>
      </c>
      <c r="F114" s="32">
        <f t="shared" si="121"/>
        <v>104.432</v>
      </c>
      <c r="G114" s="32">
        <f t="shared" si="121"/>
        <v>134.52700000000002</v>
      </c>
      <c r="H114" s="32">
        <f t="shared" si="121"/>
        <v>130.034198</v>
      </c>
      <c r="I114" s="32">
        <f t="shared" ref="I114:J114" si="122">IFERROR(I112+I113,"n.a.")</f>
        <v>125.20117599999999</v>
      </c>
      <c r="J114" s="32">
        <f t="shared" si="122"/>
        <v>156.18265600000001</v>
      </c>
      <c r="K114" s="32">
        <f t="shared" ref="K114" si="123">IFERROR(K112+K113,"n.a.")</f>
        <v>178.88943700000002</v>
      </c>
    </row>
    <row r="115" spans="1:11" s="14" customFormat="1" ht="13" collapsed="1">
      <c r="A115" s="64" t="s">
        <v>4</v>
      </c>
      <c r="B115" s="64"/>
      <c r="C115" s="65">
        <f t="shared" ref="C115:H115" si="124">IFERROR(C111+C114,"n.a.")</f>
        <v>4177.009</v>
      </c>
      <c r="D115" s="65">
        <f t="shared" si="124"/>
        <v>4550.9269999999997</v>
      </c>
      <c r="E115" s="65">
        <f t="shared" si="124"/>
        <v>4826.6310000000003</v>
      </c>
      <c r="F115" s="65">
        <f t="shared" si="124"/>
        <v>4551.8500000000004</v>
      </c>
      <c r="G115" s="65">
        <f t="shared" si="124"/>
        <v>5042.6390000000001</v>
      </c>
      <c r="H115" s="65">
        <f t="shared" si="124"/>
        <v>5453.8283180000008</v>
      </c>
      <c r="I115" s="65">
        <f t="shared" ref="I115:J115" si="125">IFERROR(I111+I114,"n.a.")</f>
        <v>5619.5939649999991</v>
      </c>
      <c r="J115" s="65">
        <f t="shared" si="125"/>
        <v>5912.2540629999994</v>
      </c>
      <c r="K115" s="65">
        <f t="shared" ref="K115" si="126">IFERROR(K111+K114,"n.a.")</f>
        <v>6456.7369010000002</v>
      </c>
    </row>
    <row r="116" spans="1:11">
      <c r="C116" s="22"/>
      <c r="D116" s="22"/>
      <c r="E116" s="22"/>
      <c r="F116" s="22"/>
      <c r="G116" s="22"/>
      <c r="H116" s="22"/>
      <c r="I116" s="22"/>
      <c r="J116" s="22"/>
      <c r="K116" s="22"/>
    </row>
    <row r="117" spans="1:11" s="14" customFormat="1" ht="13">
      <c r="A117" s="64" t="s">
        <v>8</v>
      </c>
      <c r="B117" s="64"/>
      <c r="C117" s="65">
        <f t="shared" ref="C117:H117" si="127">IFERROR(C106+C115,"n.a.")</f>
        <v>12733.915000000001</v>
      </c>
      <c r="D117" s="65">
        <f t="shared" si="127"/>
        <v>13031.697</v>
      </c>
      <c r="E117" s="65">
        <f t="shared" si="127"/>
        <v>13934.454000000002</v>
      </c>
      <c r="F117" s="65">
        <f t="shared" si="127"/>
        <v>13738.589999999998</v>
      </c>
      <c r="G117" s="65">
        <f t="shared" si="127"/>
        <v>13883.172999999999</v>
      </c>
      <c r="H117" s="65">
        <f t="shared" si="127"/>
        <v>13897.505017000003</v>
      </c>
      <c r="I117" s="65">
        <f t="shared" ref="I117:J117" si="128">IFERROR(I106+I115,"n.a.")</f>
        <v>13530.927022999998</v>
      </c>
      <c r="J117" s="65">
        <f t="shared" si="128"/>
        <v>13680.621379</v>
      </c>
      <c r="K117" s="65">
        <f t="shared" ref="K117" si="129">IFERROR(K106+K115,"n.a.")</f>
        <v>13353.183297000001</v>
      </c>
    </row>
    <row r="120" spans="1:11">
      <c r="A120" s="227" t="s">
        <v>156</v>
      </c>
      <c r="B120" s="227"/>
      <c r="C120" s="227"/>
      <c r="D120" s="227"/>
      <c r="E120" s="227"/>
      <c r="F120" s="227"/>
      <c r="G120" s="227"/>
      <c r="H120" s="227"/>
      <c r="I120" s="2"/>
      <c r="J120" s="2"/>
      <c r="K120" s="2"/>
    </row>
    <row r="121" spans="1:11">
      <c r="A121" s="227" t="s">
        <v>157</v>
      </c>
      <c r="B121" s="227"/>
      <c r="C121" s="227"/>
      <c r="D121" s="227"/>
      <c r="E121" s="227"/>
      <c r="F121" s="227"/>
      <c r="G121" s="227"/>
      <c r="H121" s="227"/>
      <c r="I121" s="2"/>
      <c r="J121" s="2"/>
      <c r="K121" s="2"/>
    </row>
    <row r="122" spans="1:11">
      <c r="A122" s="227" t="s">
        <v>246</v>
      </c>
      <c r="B122" s="227"/>
      <c r="C122" s="227"/>
      <c r="D122" s="227"/>
      <c r="E122" s="227"/>
      <c r="F122" s="227"/>
      <c r="G122" s="227"/>
      <c r="H122" s="227"/>
      <c r="I122" s="2"/>
      <c r="J122" s="2"/>
      <c r="K122" s="2"/>
    </row>
  </sheetData>
  <mergeCells count="3">
    <mergeCell ref="A120:H120"/>
    <mergeCell ref="A121:H121"/>
    <mergeCell ref="A122:H122"/>
  </mergeCells>
  <pageMargins left="0" right="0" top="0" bottom="0" header="0" footer="0"/>
  <pageSetup paperSize="9" scale="63" orientation="portrait" r:id="rId1"/>
  <ignoredErrors>
    <ignoredError sqref="H106" formula="1"/>
  </ignoredError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6" tint="0.79998168889431442"/>
    <pageSetUpPr fitToPage="1"/>
  </sheetPr>
  <dimension ref="A1:AL124"/>
  <sheetViews>
    <sheetView showGridLines="0" zoomScaleNormal="100" zoomScaleSheetLayoutView="100" workbookViewId="0">
      <pane xSplit="2" ySplit="6" topLeftCell="AI7" activePane="bottomRight" state="frozen"/>
      <selection activeCell="AQ123" sqref="AQ123"/>
      <selection pane="topRight" activeCell="AQ123" sqref="AQ123"/>
      <selection pane="bottomLeft" activeCell="AQ123" sqref="AQ123"/>
      <selection pane="bottomRight"/>
    </sheetView>
  </sheetViews>
  <sheetFormatPr defaultColWidth="9" defaultRowHeight="12.5" outlineLevelRow="2" outlineLevelCol="1"/>
  <cols>
    <col min="1" max="1" width="60.58203125" style="2" customWidth="1"/>
    <col min="2" max="2" width="2.58203125" style="2" customWidth="1"/>
    <col min="3" max="5" width="12.58203125" style="20" hidden="1" customWidth="1" outlineLevel="1"/>
    <col min="6" max="7" width="12.58203125" style="20" hidden="1" customWidth="1" outlineLevel="1" collapsed="1"/>
    <col min="8" max="9" width="12.58203125" style="20" hidden="1" customWidth="1" outlineLevel="1"/>
    <col min="10" max="11" width="12.58203125" style="20" hidden="1" customWidth="1" outlineLevel="1" collapsed="1"/>
    <col min="12" max="22" width="12.58203125" style="20" hidden="1" customWidth="1" outlineLevel="1"/>
    <col min="23" max="23" width="12.58203125" style="20" hidden="1" customWidth="1" outlineLevel="1" collapsed="1"/>
    <col min="24" max="26" width="12.58203125" style="20" hidden="1" customWidth="1" outlineLevel="1"/>
    <col min="27" max="27" width="12.58203125" style="20" hidden="1" customWidth="1" outlineLevel="1" collapsed="1"/>
    <col min="28" max="34" width="12.58203125" style="20" hidden="1" customWidth="1" outlineLevel="1"/>
    <col min="35" max="35" width="12.58203125" style="20" customWidth="1" collapsed="1"/>
    <col min="36" max="38" width="12.58203125" style="20" customWidth="1"/>
    <col min="39" max="16384" width="9" style="2"/>
  </cols>
  <sheetData>
    <row r="1" spans="1:38" s="7" customFormat="1" ht="27.75" customHeight="1">
      <c r="A1" s="7" t="s">
        <v>151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row>
    <row r="2" spans="1:38">
      <c r="A2" s="158" t="s">
        <v>146</v>
      </c>
      <c r="B2" s="159"/>
      <c r="Z2" s="2"/>
      <c r="AD2" s="2"/>
      <c r="AH2" s="2"/>
    </row>
    <row r="4" spans="1:38" ht="13.5" thickBot="1">
      <c r="A4" s="9" t="s">
        <v>96</v>
      </c>
      <c r="B4" s="9"/>
      <c r="C4" s="10" t="s">
        <v>134</v>
      </c>
      <c r="D4" s="10" t="s">
        <v>132</v>
      </c>
      <c r="E4" s="10" t="s">
        <v>97</v>
      </c>
      <c r="F4" s="10" t="s">
        <v>130</v>
      </c>
      <c r="G4" s="10" t="s">
        <v>170</v>
      </c>
      <c r="H4" s="10" t="s">
        <v>179</v>
      </c>
      <c r="I4" s="10" t="s">
        <v>190</v>
      </c>
      <c r="J4" s="10" t="s">
        <v>192</v>
      </c>
      <c r="K4" s="10" t="s">
        <v>198</v>
      </c>
      <c r="L4" s="10" t="s">
        <v>216</v>
      </c>
      <c r="M4" s="10" t="s">
        <v>221</v>
      </c>
      <c r="N4" s="10" t="s">
        <v>222</v>
      </c>
      <c r="O4" s="10" t="s">
        <v>235</v>
      </c>
      <c r="P4" s="10" t="s">
        <v>240</v>
      </c>
      <c r="Q4" s="10" t="s">
        <v>243</v>
      </c>
      <c r="R4" s="10" t="s">
        <v>244</v>
      </c>
      <c r="S4" s="10" t="s">
        <v>271</v>
      </c>
      <c r="T4" s="10" t="s">
        <v>277</v>
      </c>
      <c r="U4" s="10" t="s">
        <v>281</v>
      </c>
      <c r="V4" s="10" t="s">
        <v>286</v>
      </c>
      <c r="W4" s="10" t="s">
        <v>287</v>
      </c>
      <c r="X4" s="10" t="s">
        <v>294</v>
      </c>
      <c r="Y4" s="10" t="s">
        <v>296</v>
      </c>
      <c r="Z4" s="10" t="s">
        <v>297</v>
      </c>
      <c r="AA4" s="10" t="s">
        <v>299</v>
      </c>
      <c r="AB4" s="10" t="s">
        <v>301</v>
      </c>
      <c r="AC4" s="10" t="s">
        <v>303</v>
      </c>
      <c r="AD4" s="10" t="s">
        <v>305</v>
      </c>
      <c r="AE4" s="10" t="s">
        <v>308</v>
      </c>
      <c r="AF4" s="10" t="s">
        <v>311</v>
      </c>
      <c r="AG4" s="10" t="s">
        <v>313</v>
      </c>
      <c r="AH4" s="10" t="s">
        <v>316</v>
      </c>
      <c r="AI4" s="10" t="s">
        <v>324</v>
      </c>
      <c r="AJ4" s="10" t="s">
        <v>345</v>
      </c>
      <c r="AK4" s="10" t="s">
        <v>348</v>
      </c>
      <c r="AL4" s="10" t="s">
        <v>351</v>
      </c>
    </row>
    <row r="5" spans="1:38">
      <c r="C5" s="20" t="s">
        <v>138</v>
      </c>
      <c r="D5" s="20" t="s">
        <v>139</v>
      </c>
      <c r="E5" s="20" t="s">
        <v>138</v>
      </c>
      <c r="F5" s="20" t="s">
        <v>138</v>
      </c>
      <c r="G5" s="20" t="s">
        <v>138</v>
      </c>
      <c r="H5" s="20" t="s">
        <v>138</v>
      </c>
      <c r="I5" s="20" t="s">
        <v>138</v>
      </c>
      <c r="J5" s="20" t="s">
        <v>138</v>
      </c>
      <c r="K5" s="20" t="s">
        <v>138</v>
      </c>
      <c r="L5" s="20" t="s">
        <v>138</v>
      </c>
      <c r="M5" s="20" t="s">
        <v>138</v>
      </c>
      <c r="N5" s="20" t="s">
        <v>138</v>
      </c>
      <c r="O5" s="20" t="s">
        <v>138</v>
      </c>
      <c r="P5" s="20" t="s">
        <v>138</v>
      </c>
      <c r="Q5" s="20" t="s">
        <v>138</v>
      </c>
      <c r="R5" s="20" t="s">
        <v>138</v>
      </c>
      <c r="S5" s="20" t="s">
        <v>138</v>
      </c>
      <c r="T5" s="20" t="s">
        <v>138</v>
      </c>
      <c r="U5" s="20" t="s">
        <v>138</v>
      </c>
      <c r="V5" s="20" t="s">
        <v>138</v>
      </c>
      <c r="W5" s="20" t="s">
        <v>138</v>
      </c>
      <c r="X5" s="20" t="s">
        <v>138</v>
      </c>
      <c r="Y5" s="20" t="s">
        <v>138</v>
      </c>
      <c r="Z5" s="20" t="s">
        <v>138</v>
      </c>
      <c r="AA5" s="20" t="s">
        <v>138</v>
      </c>
      <c r="AB5" s="20" t="s">
        <v>138</v>
      </c>
      <c r="AC5" s="20" t="s">
        <v>138</v>
      </c>
      <c r="AD5" s="20" t="s">
        <v>138</v>
      </c>
      <c r="AE5" s="20" t="s">
        <v>138</v>
      </c>
      <c r="AF5" s="20" t="s">
        <v>138</v>
      </c>
      <c r="AG5" s="20" t="s">
        <v>138</v>
      </c>
      <c r="AH5" s="20" t="s">
        <v>138</v>
      </c>
      <c r="AI5" s="20" t="s">
        <v>138</v>
      </c>
      <c r="AJ5" s="20" t="s">
        <v>138</v>
      </c>
      <c r="AK5" s="20" t="s">
        <v>138</v>
      </c>
      <c r="AL5" s="20" t="s">
        <v>138</v>
      </c>
    </row>
    <row r="7" spans="1:38">
      <c r="A7" s="104" t="s">
        <v>154</v>
      </c>
      <c r="B7" s="58"/>
      <c r="C7" s="49">
        <f t="shared" ref="C7:I7" si="0">IFERROR(C76/C104,"n.a.")</f>
        <v>0.89929754642303839</v>
      </c>
      <c r="D7" s="49">
        <f t="shared" si="0"/>
        <v>1.3186902446984428</v>
      </c>
      <c r="E7" s="49">
        <f t="shared" si="0"/>
        <v>1.2771320369186663</v>
      </c>
      <c r="F7" s="49">
        <f t="shared" si="0"/>
        <v>1.102454312795166</v>
      </c>
      <c r="G7" s="49">
        <f t="shared" si="0"/>
        <v>1.1578342673505573</v>
      </c>
      <c r="H7" s="49">
        <f t="shared" si="0"/>
        <v>1.2069540366753986</v>
      </c>
      <c r="I7" s="49">
        <f t="shared" si="0"/>
        <v>1.3271509218642776</v>
      </c>
      <c r="J7" s="49">
        <f t="shared" ref="J7:AC7" si="1">IFERROR(J76/J104,"n.a.")</f>
        <v>1.2199282774955671</v>
      </c>
      <c r="K7" s="49">
        <f t="shared" si="1"/>
        <v>1.3262169579555705</v>
      </c>
      <c r="L7" s="49">
        <f t="shared" si="1"/>
        <v>1.072587700044656</v>
      </c>
      <c r="M7" s="49">
        <f t="shared" si="1"/>
        <v>1.1282571669967232</v>
      </c>
      <c r="N7" s="49">
        <f t="shared" si="1"/>
        <v>1.0879781871025251</v>
      </c>
      <c r="O7" s="49">
        <f t="shared" si="1"/>
        <v>1.233070275601255</v>
      </c>
      <c r="P7" s="49">
        <f t="shared" si="1"/>
        <v>1.4488597756505777</v>
      </c>
      <c r="Q7" s="49">
        <f t="shared" si="1"/>
        <v>1.3971792366063462</v>
      </c>
      <c r="R7" s="49">
        <f t="shared" si="1"/>
        <v>1.5775513412474029</v>
      </c>
      <c r="S7" s="49">
        <f t="shared" si="1"/>
        <v>1.5238790933261961</v>
      </c>
      <c r="T7" s="49">
        <f t="shared" si="1"/>
        <v>1.0492387189684349</v>
      </c>
      <c r="U7" s="49">
        <f t="shared" si="1"/>
        <v>1.0449445763643013</v>
      </c>
      <c r="V7" s="49">
        <f t="shared" si="1"/>
        <v>1.1823526506289064</v>
      </c>
      <c r="W7" s="49">
        <f t="shared" si="1"/>
        <v>1.2343393008365977</v>
      </c>
      <c r="X7" s="49">
        <f t="shared" si="1"/>
        <v>1.1847854884407378</v>
      </c>
      <c r="Y7" s="49">
        <f t="shared" si="1"/>
        <v>1.2158838696918759</v>
      </c>
      <c r="Z7" s="49">
        <f t="shared" si="1"/>
        <v>1.3231694140441788</v>
      </c>
      <c r="AA7" s="49">
        <f t="shared" si="1"/>
        <v>1.2358394156695633</v>
      </c>
      <c r="AB7" s="49">
        <f t="shared" si="1"/>
        <v>1.1954889986623101</v>
      </c>
      <c r="AC7" s="49">
        <f t="shared" si="1"/>
        <v>1.4347911787483487</v>
      </c>
      <c r="AD7" s="49">
        <f t="shared" ref="AD7:AG7" si="2">IFERROR(AD76/AD104,"n.a.")</f>
        <v>1.1794231096596761</v>
      </c>
      <c r="AE7" s="49">
        <f t="shared" si="2"/>
        <v>1.3584546949927352</v>
      </c>
      <c r="AF7" s="49">
        <f t="shared" si="2"/>
        <v>1.1728289735553183</v>
      </c>
      <c r="AG7" s="49">
        <f t="shared" si="2"/>
        <v>1.4766184921796226</v>
      </c>
      <c r="AH7" s="49">
        <f t="shared" ref="AH7:AJ7" si="3">IFERROR(AH76/AH104,"n.a.")</f>
        <v>1.2760867530865867</v>
      </c>
      <c r="AI7" s="49">
        <f t="shared" si="3"/>
        <v>1.2315948789519475</v>
      </c>
      <c r="AJ7" s="49">
        <f t="shared" si="3"/>
        <v>1.1676851279255627</v>
      </c>
      <c r="AK7" s="49">
        <f t="shared" ref="AK7:AL7" si="4">IFERROR(AK76/AK104,"n.a.")</f>
        <v>1.2114492228125588</v>
      </c>
      <c r="AL7" s="49">
        <f t="shared" si="4"/>
        <v>1.4485276883164155</v>
      </c>
    </row>
    <row r="8" spans="1:38">
      <c r="A8" s="105" t="s">
        <v>155</v>
      </c>
      <c r="B8" s="12"/>
      <c r="C8" s="51">
        <f t="shared" ref="C8:P8" si="5">IFERROR((C76-C64)/C104,"n.a.")</f>
        <v>0.6257075010856209</v>
      </c>
      <c r="D8" s="51">
        <f t="shared" si="5"/>
        <v>0.8927252281121848</v>
      </c>
      <c r="E8" s="51">
        <f t="shared" si="5"/>
        <v>0.84508236984815155</v>
      </c>
      <c r="F8" s="51">
        <f t="shared" si="5"/>
        <v>0.77922558538449249</v>
      </c>
      <c r="G8" s="51">
        <f t="shared" si="5"/>
        <v>0.78572338842451872</v>
      </c>
      <c r="H8" s="51">
        <f t="shared" si="5"/>
        <v>0.80871741409114228</v>
      </c>
      <c r="I8" s="51">
        <f t="shared" si="5"/>
        <v>0.8852824821986065</v>
      </c>
      <c r="J8" s="51">
        <f t="shared" si="5"/>
        <v>0.84452749972555152</v>
      </c>
      <c r="K8" s="51">
        <f t="shared" si="5"/>
        <v>0.89738298067268307</v>
      </c>
      <c r="L8" s="51">
        <f t="shared" si="5"/>
        <v>0.70462743705979425</v>
      </c>
      <c r="M8" s="51">
        <f t="shared" si="5"/>
        <v>0.77588826311887216</v>
      </c>
      <c r="N8" s="51">
        <f t="shared" si="5"/>
        <v>0.78453466012923401</v>
      </c>
      <c r="O8" s="51">
        <f t="shared" si="5"/>
        <v>0.80655938111121739</v>
      </c>
      <c r="P8" s="51">
        <f t="shared" si="5"/>
        <v>1.0667954112874065</v>
      </c>
      <c r="Q8" s="51">
        <f t="shared" ref="Q8:AC8" si="6">IFERROR((Q76-Q64)/Q104,"n.a.")</f>
        <v>1.0678325864625564</v>
      </c>
      <c r="R8" s="51">
        <f t="shared" si="6"/>
        <v>1.2695951645213654</v>
      </c>
      <c r="S8" s="51">
        <f t="shared" si="6"/>
        <v>1.0822813799581357</v>
      </c>
      <c r="T8" s="51">
        <f t="shared" si="6"/>
        <v>0.73787928553222593</v>
      </c>
      <c r="U8" s="51">
        <f t="shared" si="6"/>
        <v>0.7387546576829086</v>
      </c>
      <c r="V8" s="51">
        <f t="shared" si="6"/>
        <v>0.88098253057611364</v>
      </c>
      <c r="W8" s="51">
        <f t="shared" si="6"/>
        <v>0.83159694580394172</v>
      </c>
      <c r="X8" s="51">
        <f t="shared" si="6"/>
        <v>0.7637343164777779</v>
      </c>
      <c r="Y8" s="51">
        <f t="shared" si="6"/>
        <v>0.84462056848174139</v>
      </c>
      <c r="Z8" s="51">
        <f t="shared" si="6"/>
        <v>0.88702021786000196</v>
      </c>
      <c r="AA8" s="51">
        <f t="shared" si="6"/>
        <v>0.82695165821873062</v>
      </c>
      <c r="AB8" s="51">
        <f t="shared" si="6"/>
        <v>0.81417478342834071</v>
      </c>
      <c r="AC8" s="51">
        <f t="shared" si="6"/>
        <v>0.94028367354867937</v>
      </c>
      <c r="AD8" s="51">
        <f t="shared" ref="AD8:AG8" si="7">IFERROR((AD76-AD64)/AD104,"n.a.")</f>
        <v>0.77170598484400577</v>
      </c>
      <c r="AE8" s="51">
        <f t="shared" si="7"/>
        <v>0.86327213966369443</v>
      </c>
      <c r="AF8" s="51">
        <f t="shared" si="7"/>
        <v>0.74074699872466965</v>
      </c>
      <c r="AG8" s="51">
        <f t="shared" si="7"/>
        <v>0.96115172189718623</v>
      </c>
      <c r="AH8" s="51">
        <f t="shared" ref="AH8:AJ8" si="8">IFERROR((AH76-AH64)/AH104,"n.a.")</f>
        <v>0.83670730715660946</v>
      </c>
      <c r="AI8" s="51">
        <f t="shared" si="8"/>
        <v>0.76822346791622542</v>
      </c>
      <c r="AJ8" s="51">
        <f t="shared" si="8"/>
        <v>0.71896334672644457</v>
      </c>
      <c r="AK8" s="51">
        <f t="shared" ref="AK8:AL8" si="9">IFERROR((AK76-AK64)/AK104,"n.a.")</f>
        <v>0.77613717979652275</v>
      </c>
      <c r="AL8" s="51">
        <f t="shared" si="9"/>
        <v>0.93859482709574282</v>
      </c>
    </row>
    <row r="9" spans="1:38">
      <c r="A9" s="133" t="s">
        <v>209</v>
      </c>
      <c r="B9" s="12"/>
      <c r="C9" s="48">
        <f t="shared" ref="C9:J9" si="10">C36</f>
        <v>5525.2430000000004</v>
      </c>
      <c r="D9" s="48">
        <f t="shared" si="10"/>
        <v>4176.4740000000011</v>
      </c>
      <c r="E9" s="48">
        <f t="shared" si="10"/>
        <v>4287.67</v>
      </c>
      <c r="F9" s="48">
        <f t="shared" si="10"/>
        <v>3218.4949999999994</v>
      </c>
      <c r="G9" s="48">
        <f t="shared" si="10"/>
        <v>3938.8859999999995</v>
      </c>
      <c r="H9" s="48">
        <f t="shared" si="10"/>
        <v>3916.4589999999985</v>
      </c>
      <c r="I9" s="48">
        <f t="shared" si="10"/>
        <v>4038.2950000000005</v>
      </c>
      <c r="J9" s="48">
        <f t="shared" si="10"/>
        <v>3180.1300000000006</v>
      </c>
      <c r="K9" s="48">
        <f t="shared" ref="K9:R9" si="11">K40</f>
        <v>4387.3399999999992</v>
      </c>
      <c r="L9" s="48">
        <f t="shared" si="11"/>
        <v>4491.7800000000007</v>
      </c>
      <c r="M9" s="48">
        <f t="shared" si="11"/>
        <v>4480.1550000000007</v>
      </c>
      <c r="N9" s="48">
        <f t="shared" si="11"/>
        <v>3507.2249999999999</v>
      </c>
      <c r="O9" s="48">
        <f t="shared" si="11"/>
        <v>4260.7339999999995</v>
      </c>
      <c r="P9" s="48">
        <f t="shared" si="11"/>
        <v>4264.68</v>
      </c>
      <c r="Q9" s="48">
        <f t="shared" si="11"/>
        <v>4252.4809999999998</v>
      </c>
      <c r="R9" s="48">
        <f t="shared" si="11"/>
        <v>3258.375</v>
      </c>
      <c r="S9" s="48">
        <f t="shared" ref="S9:AC9" si="12">S40</f>
        <v>3911.9289999999996</v>
      </c>
      <c r="T9" s="48">
        <f t="shared" si="12"/>
        <v>3818.6759999999999</v>
      </c>
      <c r="U9" s="48">
        <f t="shared" si="12"/>
        <v>3714.8989999999999</v>
      </c>
      <c r="V9" s="48">
        <f t="shared" si="12"/>
        <v>2907.1159999999995</v>
      </c>
      <c r="W9" s="48">
        <f t="shared" si="12"/>
        <v>3580.0039999999999</v>
      </c>
      <c r="X9" s="48">
        <f t="shared" si="12"/>
        <v>3530.741</v>
      </c>
      <c r="Y9" s="48">
        <f t="shared" si="12"/>
        <v>3390.0800000000013</v>
      </c>
      <c r="Z9" s="48">
        <f t="shared" si="12"/>
        <v>2552.6343339999999</v>
      </c>
      <c r="AA9" s="48">
        <f t="shared" si="12"/>
        <v>3243.9580000000001</v>
      </c>
      <c r="AB9" s="48">
        <f t="shared" si="12"/>
        <v>3087.4839999999999</v>
      </c>
      <c r="AC9" s="48">
        <f t="shared" si="12"/>
        <v>3138.0576570000003</v>
      </c>
      <c r="AD9" s="48">
        <f t="shared" ref="AD9:AG9" si="13">AD40</f>
        <v>2261.7275659999996</v>
      </c>
      <c r="AE9" s="48">
        <f t="shared" si="13"/>
        <v>2935.1142829999999</v>
      </c>
      <c r="AF9" s="48">
        <f t="shared" si="13"/>
        <v>2978.0150489999996</v>
      </c>
      <c r="AG9" s="48">
        <f t="shared" si="13"/>
        <v>2816.1582250000001</v>
      </c>
      <c r="AH9" s="48">
        <f t="shared" ref="AH9:AJ9" si="14">AH40</f>
        <v>1925.7625419999999</v>
      </c>
      <c r="AI9" s="48">
        <f t="shared" si="14"/>
        <v>2622.5086009999995</v>
      </c>
      <c r="AJ9" s="48">
        <f t="shared" si="14"/>
        <v>2678.6564069999999</v>
      </c>
      <c r="AK9" s="48">
        <f t="shared" ref="AK9:AL9" si="15">AK40</f>
        <v>2537.8950319999999</v>
      </c>
      <c r="AL9" s="48">
        <f t="shared" si="15"/>
        <v>1101.913176</v>
      </c>
    </row>
    <row r="12" spans="1:38" ht="13.5" thickBot="1">
      <c r="A12" s="9" t="s">
        <v>288</v>
      </c>
      <c r="B12" s="9"/>
      <c r="C12" s="10" t="str">
        <f t="shared" ref="C12:O12" si="16">C4</f>
        <v>1Q 2017</v>
      </c>
      <c r="D12" s="10" t="str">
        <f t="shared" si="16"/>
        <v>1H 2017</v>
      </c>
      <c r="E12" s="10" t="str">
        <f t="shared" si="16"/>
        <v>9M 2017</v>
      </c>
      <c r="F12" s="10" t="str">
        <f t="shared" si="16"/>
        <v>FY 2017</v>
      </c>
      <c r="G12" s="10" t="str">
        <f t="shared" si="16"/>
        <v>1Q 2018</v>
      </c>
      <c r="H12" s="10" t="str">
        <f t="shared" si="16"/>
        <v>1H 2018</v>
      </c>
      <c r="I12" s="10" t="str">
        <f t="shared" si="16"/>
        <v>9M 2018</v>
      </c>
      <c r="J12" s="10" t="str">
        <f t="shared" si="16"/>
        <v>FY 2018</v>
      </c>
      <c r="K12" s="10" t="str">
        <f t="shared" si="16"/>
        <v>1Q 2019</v>
      </c>
      <c r="L12" s="10" t="str">
        <f t="shared" si="16"/>
        <v>1H 2019</v>
      </c>
      <c r="M12" s="10" t="str">
        <f t="shared" si="16"/>
        <v>9M 2019</v>
      </c>
      <c r="N12" s="10" t="str">
        <f t="shared" si="16"/>
        <v>FY 2019</v>
      </c>
      <c r="O12" s="10" t="str">
        <f t="shared" si="16"/>
        <v>1Q 2020</v>
      </c>
      <c r="P12" s="10" t="str">
        <f t="shared" ref="P12:AC12" si="17">P4</f>
        <v>1H 2020</v>
      </c>
      <c r="Q12" s="10" t="str">
        <f t="shared" si="17"/>
        <v>9M 2020</v>
      </c>
      <c r="R12" s="10" t="str">
        <f t="shared" si="17"/>
        <v>FY 2020</v>
      </c>
      <c r="S12" s="10" t="str">
        <f t="shared" si="17"/>
        <v>1Q 2021</v>
      </c>
      <c r="T12" s="10" t="str">
        <f t="shared" si="17"/>
        <v>1H 2021</v>
      </c>
      <c r="U12" s="10" t="str">
        <f t="shared" si="17"/>
        <v>9M 2021</v>
      </c>
      <c r="V12" s="10" t="str">
        <f t="shared" si="17"/>
        <v>FY 2021</v>
      </c>
      <c r="W12" s="10" t="str">
        <f t="shared" si="17"/>
        <v>1Q 2022</v>
      </c>
      <c r="X12" s="10" t="str">
        <f t="shared" si="17"/>
        <v>1H 2022</v>
      </c>
      <c r="Y12" s="10" t="str">
        <f t="shared" si="17"/>
        <v>9M 2022</v>
      </c>
      <c r="Z12" s="10" t="str">
        <f t="shared" si="17"/>
        <v>FY 2022</v>
      </c>
      <c r="AA12" s="10" t="str">
        <f t="shared" si="17"/>
        <v>1Q 2023</v>
      </c>
      <c r="AB12" s="10" t="str">
        <f t="shared" si="17"/>
        <v>1H 2023</v>
      </c>
      <c r="AC12" s="10" t="str">
        <f t="shared" si="17"/>
        <v>9M 2023</v>
      </c>
      <c r="AD12" s="10" t="str">
        <f t="shared" ref="AD12:AG12" si="18">AD4</f>
        <v>FY 2023</v>
      </c>
      <c r="AE12" s="10" t="str">
        <f t="shared" si="18"/>
        <v>1Q 2024</v>
      </c>
      <c r="AF12" s="10" t="str">
        <f t="shared" si="18"/>
        <v>1H 2024</v>
      </c>
      <c r="AG12" s="10" t="str">
        <f t="shared" si="18"/>
        <v>9M 2024</v>
      </c>
      <c r="AH12" s="10" t="str">
        <f t="shared" ref="AH12:AJ12" si="19">AH4</f>
        <v>FY 2024</v>
      </c>
      <c r="AI12" s="10" t="str">
        <f t="shared" si="19"/>
        <v>1Q 2025</v>
      </c>
      <c r="AJ12" s="10" t="str">
        <f t="shared" si="19"/>
        <v>1H 2025</v>
      </c>
      <c r="AK12" s="10" t="str">
        <f t="shared" ref="AK12:AL12" si="20">AK4</f>
        <v>9M 2025</v>
      </c>
      <c r="AL12" s="10" t="str">
        <f t="shared" si="20"/>
        <v>FY 2025</v>
      </c>
    </row>
    <row r="13" spans="1:38">
      <c r="B13" s="59"/>
      <c r="C13" s="20" t="str">
        <f t="shared" ref="C13:O13" si="21">C5</f>
        <v>reported</v>
      </c>
      <c r="D13" s="20" t="str">
        <f t="shared" si="21"/>
        <v>carve-out</v>
      </c>
      <c r="E13" s="20" t="str">
        <f t="shared" si="21"/>
        <v>reported</v>
      </c>
      <c r="F13" s="20" t="str">
        <f t="shared" si="21"/>
        <v>reported</v>
      </c>
      <c r="G13" s="20" t="str">
        <f t="shared" si="21"/>
        <v>reported</v>
      </c>
      <c r="H13" s="20" t="str">
        <f t="shared" si="21"/>
        <v>reported</v>
      </c>
      <c r="I13" s="20" t="str">
        <f t="shared" si="21"/>
        <v>reported</v>
      </c>
      <c r="J13" s="20" t="str">
        <f t="shared" si="21"/>
        <v>reported</v>
      </c>
      <c r="K13" s="20" t="str">
        <f t="shared" si="21"/>
        <v>reported</v>
      </c>
      <c r="L13" s="20" t="str">
        <f t="shared" si="21"/>
        <v>reported</v>
      </c>
      <c r="M13" s="20" t="str">
        <f t="shared" si="21"/>
        <v>reported</v>
      </c>
      <c r="N13" s="20" t="str">
        <f t="shared" si="21"/>
        <v>reported</v>
      </c>
      <c r="O13" s="20" t="str">
        <f t="shared" si="21"/>
        <v>reported</v>
      </c>
      <c r="P13" s="20" t="str">
        <f t="shared" ref="P13:AC13" si="22">P5</f>
        <v>reported</v>
      </c>
      <c r="Q13" s="20" t="str">
        <f t="shared" si="22"/>
        <v>reported</v>
      </c>
      <c r="R13" s="20" t="str">
        <f t="shared" si="22"/>
        <v>reported</v>
      </c>
      <c r="S13" s="20" t="str">
        <f t="shared" si="22"/>
        <v>reported</v>
      </c>
      <c r="T13" s="20" t="str">
        <f t="shared" si="22"/>
        <v>reported</v>
      </c>
      <c r="U13" s="20" t="str">
        <f t="shared" si="22"/>
        <v>reported</v>
      </c>
      <c r="V13" s="20" t="str">
        <f t="shared" si="22"/>
        <v>reported</v>
      </c>
      <c r="W13" s="20" t="str">
        <f t="shared" si="22"/>
        <v>reported</v>
      </c>
      <c r="X13" s="20" t="str">
        <f t="shared" si="22"/>
        <v>reported</v>
      </c>
      <c r="Y13" s="20" t="str">
        <f t="shared" si="22"/>
        <v>reported</v>
      </c>
      <c r="Z13" s="20" t="str">
        <f t="shared" si="22"/>
        <v>reported</v>
      </c>
      <c r="AA13" s="20" t="str">
        <f t="shared" si="22"/>
        <v>reported</v>
      </c>
      <c r="AB13" s="20" t="str">
        <f t="shared" si="22"/>
        <v>reported</v>
      </c>
      <c r="AC13" s="20" t="str">
        <f t="shared" si="22"/>
        <v>reported</v>
      </c>
      <c r="AD13" s="20" t="str">
        <f t="shared" ref="AD13:AG13" si="23">AD5</f>
        <v>reported</v>
      </c>
      <c r="AE13" s="20" t="str">
        <f t="shared" si="23"/>
        <v>reported</v>
      </c>
      <c r="AF13" s="20" t="str">
        <f t="shared" si="23"/>
        <v>reported</v>
      </c>
      <c r="AG13" s="20" t="str">
        <f t="shared" si="23"/>
        <v>reported</v>
      </c>
      <c r="AH13" s="20" t="str">
        <f t="shared" ref="AH13:AJ13" si="24">AH5</f>
        <v>reported</v>
      </c>
      <c r="AI13" s="20" t="str">
        <f t="shared" si="24"/>
        <v>reported</v>
      </c>
      <c r="AJ13" s="20" t="str">
        <f t="shared" si="24"/>
        <v>reported</v>
      </c>
      <c r="AK13" s="20" t="str">
        <f t="shared" ref="AK13:AL13" si="25">AK5</f>
        <v>reported</v>
      </c>
      <c r="AL13" s="20" t="str">
        <f t="shared" si="25"/>
        <v>reported</v>
      </c>
    </row>
    <row r="15" spans="1:38" hidden="1" outlineLevel="2">
      <c r="A15" s="16" t="s">
        <v>203</v>
      </c>
      <c r="B15" s="12"/>
      <c r="C15" s="32">
        <f t="shared" ref="C15:K15" si="26">IFERROR(C21-C17,C21)</f>
        <v>9213.5789999999997</v>
      </c>
      <c r="D15" s="32">
        <f t="shared" si="26"/>
        <v>9131.4569999999985</v>
      </c>
      <c r="E15" s="32">
        <f t="shared" si="26"/>
        <v>9147.3639999999996</v>
      </c>
      <c r="F15" s="32">
        <f t="shared" si="26"/>
        <v>9120.9969999999994</v>
      </c>
      <c r="G15" s="32">
        <f t="shared" si="26"/>
        <v>8958.2100000000009</v>
      </c>
      <c r="H15" s="32">
        <f t="shared" si="26"/>
        <v>8881.2210000000014</v>
      </c>
      <c r="I15" s="32">
        <f t="shared" si="26"/>
        <v>8880.6368969658906</v>
      </c>
      <c r="J15" s="32">
        <f t="shared" si="26"/>
        <v>9017.7510000000002</v>
      </c>
      <c r="K15" s="32">
        <f t="shared" si="26"/>
        <v>9069.7619999999988</v>
      </c>
      <c r="L15" s="32">
        <f t="shared" ref="L15:S15" si="27">IFERROR(L21-L17,L21)</f>
        <v>9016.2900000000009</v>
      </c>
      <c r="M15" s="32">
        <f t="shared" si="27"/>
        <v>8972.9500000000007</v>
      </c>
      <c r="N15" s="32">
        <f t="shared" si="27"/>
        <v>9007.1790000000001</v>
      </c>
      <c r="O15" s="32">
        <f t="shared" si="27"/>
        <v>8724.1729999999989</v>
      </c>
      <c r="P15" s="32">
        <f t="shared" si="27"/>
        <v>8618.3959999999988</v>
      </c>
      <c r="Q15" s="32">
        <f t="shared" si="27"/>
        <v>8464.3850000000002</v>
      </c>
      <c r="R15" s="32">
        <f t="shared" si="27"/>
        <v>8423.0959999999995</v>
      </c>
      <c r="S15" s="32">
        <f t="shared" si="27"/>
        <v>8431.7379999999994</v>
      </c>
      <c r="T15" s="32">
        <f>IFERROR(T21-T17-0.01,T21)</f>
        <v>8445.6489999999994</v>
      </c>
      <c r="U15" s="32">
        <f t="shared" ref="U15:AC15" si="28">IFERROR(U21-U17,U21)</f>
        <v>8396.014000000001</v>
      </c>
      <c r="V15" s="32">
        <f t="shared" si="28"/>
        <v>8447.223</v>
      </c>
      <c r="W15" s="32">
        <f t="shared" si="28"/>
        <v>8454.7780000000002</v>
      </c>
      <c r="X15" s="32">
        <f t="shared" si="28"/>
        <v>8548.744999999999</v>
      </c>
      <c r="Y15" s="32">
        <f t="shared" si="28"/>
        <v>8550.7999999999993</v>
      </c>
      <c r="Z15" s="32">
        <f t="shared" si="28"/>
        <v>8464.2633029999997</v>
      </c>
      <c r="AA15" s="32">
        <f t="shared" si="28"/>
        <v>8418.4410000000007</v>
      </c>
      <c r="AB15" s="32">
        <f t="shared" si="28"/>
        <v>8384.1850000000013</v>
      </c>
      <c r="AC15" s="32">
        <f t="shared" si="28"/>
        <v>8365.5002683426756</v>
      </c>
      <c r="AD15" s="32">
        <f t="shared" ref="AD15:AF15" si="29">IFERROR(AD21-AD17,AD21)</f>
        <v>8371.5993970724576</v>
      </c>
      <c r="AE15" s="32">
        <f t="shared" si="29"/>
        <v>8396.7939599999991</v>
      </c>
      <c r="AF15" s="32">
        <f t="shared" si="29"/>
        <v>8322.2490539999999</v>
      </c>
      <c r="AG15" s="32">
        <f>IFERROR(AG21-AG17,AG21)</f>
        <v>8221.8962510000019</v>
      </c>
      <c r="AH15" s="32">
        <f>IFERROR(AH21-AH17,AH21)</f>
        <v>8328.6236462110646</v>
      </c>
      <c r="AI15" s="32">
        <f t="shared" ref="AI15:AJ15" si="30">IFERROR(AI21-AI17,AI21)</f>
        <v>8281.7565289187241</v>
      </c>
      <c r="AJ15" s="32">
        <f t="shared" si="30"/>
        <v>8143.497210999999</v>
      </c>
      <c r="AK15" s="32">
        <f t="shared" ref="AK15:AL15" si="31">IFERROR(AK21-AK17,AK21)</f>
        <v>8146.4109879999996</v>
      </c>
      <c r="AL15" s="32">
        <f t="shared" si="31"/>
        <v>8180.6343740000002</v>
      </c>
    </row>
    <row r="16" spans="1:38" hidden="1" outlineLevel="2">
      <c r="A16" s="131" t="s">
        <v>207</v>
      </c>
      <c r="B16" s="17"/>
      <c r="C16" s="49">
        <f t="shared" ref="C16:S16" si="32">IFERROR(C18-C17,C18)</f>
        <v>2980.0859999999998</v>
      </c>
      <c r="D16" s="49">
        <f t="shared" si="32"/>
        <v>2927.2</v>
      </c>
      <c r="E16" s="49">
        <f t="shared" si="32"/>
        <v>2968.2190000000001</v>
      </c>
      <c r="F16" s="49">
        <f t="shared" si="32"/>
        <v>2980.2939999999999</v>
      </c>
      <c r="G16" s="49">
        <f t="shared" si="32"/>
        <v>3004.1410000000001</v>
      </c>
      <c r="H16" s="49">
        <f t="shared" si="32"/>
        <v>2970.884</v>
      </c>
      <c r="I16" s="49">
        <f t="shared" si="32"/>
        <v>3001.4388969658894</v>
      </c>
      <c r="J16" s="49">
        <f t="shared" si="32"/>
        <v>3092.9270000000001</v>
      </c>
      <c r="K16" s="49">
        <f t="shared" si="32"/>
        <v>3148.6479999999997</v>
      </c>
      <c r="L16" s="49">
        <f t="shared" si="32"/>
        <v>3134.694</v>
      </c>
      <c r="M16" s="49">
        <f t="shared" si="32"/>
        <v>3129.4620000000004</v>
      </c>
      <c r="N16" s="49">
        <f t="shared" si="32"/>
        <v>3187.1910000000003</v>
      </c>
      <c r="O16" s="49">
        <f t="shared" si="32"/>
        <v>2958.4580000000001</v>
      </c>
      <c r="P16" s="49">
        <f t="shared" si="32"/>
        <v>2860.4369999999999</v>
      </c>
      <c r="Q16" s="49">
        <f t="shared" si="32"/>
        <v>2742.991</v>
      </c>
      <c r="R16" s="49">
        <f t="shared" si="32"/>
        <v>2725.7549999999997</v>
      </c>
      <c r="S16" s="49">
        <f t="shared" si="32"/>
        <v>2748.93</v>
      </c>
      <c r="T16" s="49">
        <f>IFERROR(T18-T17-0.02,T18)</f>
        <v>2782.442</v>
      </c>
      <c r="U16" s="49">
        <f t="shared" ref="U16:AC16" si="33">IFERROR(U18-U17,U18)</f>
        <v>2758.2370000000001</v>
      </c>
      <c r="V16" s="49">
        <f t="shared" si="33"/>
        <v>2823.7650000000003</v>
      </c>
      <c r="W16" s="49">
        <f t="shared" si="33"/>
        <v>2859.1040000000003</v>
      </c>
      <c r="X16" s="49">
        <f t="shared" si="33"/>
        <v>2983.1859999999997</v>
      </c>
      <c r="Y16" s="49">
        <f t="shared" si="33"/>
        <v>3007.6</v>
      </c>
      <c r="Z16" s="49">
        <f t="shared" si="33"/>
        <v>2952.78</v>
      </c>
      <c r="AA16" s="49">
        <f t="shared" si="33"/>
        <v>2934.4290000000001</v>
      </c>
      <c r="AB16" s="49">
        <f t="shared" si="33"/>
        <v>2930</v>
      </c>
      <c r="AC16" s="49">
        <f t="shared" si="33"/>
        <v>2936.6500123426758</v>
      </c>
      <c r="AD16" s="49">
        <f t="shared" ref="AD16:AG16" si="34">IFERROR(AD18-AD17,AD18)</f>
        <v>2968.5786900724593</v>
      </c>
      <c r="AE16" s="49">
        <f t="shared" si="34"/>
        <v>3001.20829</v>
      </c>
      <c r="AF16" s="49">
        <f t="shared" si="34"/>
        <v>2951.7699120000002</v>
      </c>
      <c r="AG16" s="49">
        <f t="shared" si="34"/>
        <v>2871.1527959999999</v>
      </c>
      <c r="AH16" s="49">
        <f t="shared" ref="AH16:AJ16" si="35">IFERROR(AH18-AH17,AH18)</f>
        <v>2984.8111972110646</v>
      </c>
      <c r="AI16" s="49">
        <f t="shared" si="35"/>
        <v>2944.0346159187275</v>
      </c>
      <c r="AJ16" s="49">
        <f t="shared" si="35"/>
        <v>2846.5122110000002</v>
      </c>
      <c r="AK16" s="49">
        <f t="shared" ref="AK16:AL16" si="36">IFERROR(AK18-AK17,AK18)</f>
        <v>2864.8859400000001</v>
      </c>
      <c r="AL16" s="49">
        <f t="shared" si="36"/>
        <v>2953.8717040000001</v>
      </c>
    </row>
    <row r="17" spans="1:38" hidden="1" outlineLevel="2">
      <c r="A17" s="131" t="s">
        <v>202</v>
      </c>
      <c r="B17" s="17"/>
      <c r="C17" s="44" t="s">
        <v>164</v>
      </c>
      <c r="D17" s="44" t="s">
        <v>164</v>
      </c>
      <c r="E17" s="44" t="s">
        <v>164</v>
      </c>
      <c r="F17" s="48" t="str">
        <f>'Balance Sheet - FY'!C17</f>
        <v>n.a.</v>
      </c>
      <c r="G17" s="44" t="s">
        <v>164</v>
      </c>
      <c r="H17" s="44" t="s">
        <v>164</v>
      </c>
      <c r="I17" s="44" t="s">
        <v>164</v>
      </c>
      <c r="J17" s="48" t="str">
        <f>'Balance Sheet - FY'!D17</f>
        <v>n.a.</v>
      </c>
      <c r="K17" s="44">
        <v>472.387</v>
      </c>
      <c r="L17" s="44">
        <v>458.9</v>
      </c>
      <c r="M17" s="44">
        <v>463.78</v>
      </c>
      <c r="N17" s="48">
        <f>'Balance Sheet - FY'!E17</f>
        <v>462.61799999999999</v>
      </c>
      <c r="O17" s="44">
        <v>450.7</v>
      </c>
      <c r="P17" s="44">
        <v>449.32100000000003</v>
      </c>
      <c r="Q17" s="44">
        <v>444.43200000000002</v>
      </c>
      <c r="R17" s="48">
        <f>'Balance Sheet - FY'!F17</f>
        <v>434.012</v>
      </c>
      <c r="S17" s="44">
        <v>438.9</v>
      </c>
      <c r="T17" s="44">
        <v>441.88299999999998</v>
      </c>
      <c r="U17" s="44">
        <v>426.505</v>
      </c>
      <c r="V17" s="48">
        <f>'Balance Sheet - FY'!G17</f>
        <v>465.149</v>
      </c>
      <c r="W17" s="44">
        <v>455.988</v>
      </c>
      <c r="X17" s="44">
        <v>468.4</v>
      </c>
      <c r="Y17" s="44">
        <v>455.8</v>
      </c>
      <c r="Z17" s="48">
        <f>'Balance Sheet - FY'!H17</f>
        <v>446.84800000000001</v>
      </c>
      <c r="AA17" s="44">
        <v>436.428</v>
      </c>
      <c r="AB17" s="44">
        <v>437.52</v>
      </c>
      <c r="AC17" s="44">
        <v>439.13301565732399</v>
      </c>
      <c r="AD17" s="48">
        <f>+'Balance Sheet - FY'!I17</f>
        <v>440.53567992754103</v>
      </c>
      <c r="AE17" s="44">
        <v>429.54500000000002</v>
      </c>
      <c r="AF17" s="44">
        <v>425.75</v>
      </c>
      <c r="AG17" s="44">
        <v>442.8</v>
      </c>
      <c r="AH17" s="48">
        <f>'Balance Sheet - FY'!J17</f>
        <v>442.944540788935</v>
      </c>
      <c r="AI17" s="44">
        <v>441.30240808127303</v>
      </c>
      <c r="AJ17" s="44">
        <v>428.41699999999997</v>
      </c>
      <c r="AK17" s="44">
        <v>426.08699999999999</v>
      </c>
      <c r="AL17" s="48">
        <f>'Balance Sheet - FY'!K17</f>
        <v>412.51299999999998</v>
      </c>
    </row>
    <row r="18" spans="1:38" hidden="1" outlineLevel="1">
      <c r="A18" s="41" t="s">
        <v>208</v>
      </c>
      <c r="B18" s="17"/>
      <c r="C18" s="33">
        <f t="shared" ref="C18:K18" si="37">C47</f>
        <v>2980.0859999999998</v>
      </c>
      <c r="D18" s="33">
        <f t="shared" si="37"/>
        <v>2927.2</v>
      </c>
      <c r="E18" s="33">
        <f t="shared" si="37"/>
        <v>2968.2190000000001</v>
      </c>
      <c r="F18" s="33">
        <f t="shared" si="37"/>
        <v>2980.2939999999999</v>
      </c>
      <c r="G18" s="33">
        <f t="shared" si="37"/>
        <v>3004.1410000000001</v>
      </c>
      <c r="H18" s="33">
        <f t="shared" si="37"/>
        <v>2970.884</v>
      </c>
      <c r="I18" s="33">
        <f t="shared" si="37"/>
        <v>3001.4388969658894</v>
      </c>
      <c r="J18" s="33">
        <f t="shared" si="37"/>
        <v>3092.9270000000001</v>
      </c>
      <c r="K18" s="33">
        <f t="shared" si="37"/>
        <v>3621.0349999999999</v>
      </c>
      <c r="L18" s="33">
        <f t="shared" ref="L18:AC18" si="38">L47</f>
        <v>3593.5940000000001</v>
      </c>
      <c r="M18" s="33">
        <f t="shared" si="38"/>
        <v>3593.2420000000002</v>
      </c>
      <c r="N18" s="33">
        <f t="shared" si="38"/>
        <v>3649.8090000000002</v>
      </c>
      <c r="O18" s="33">
        <f t="shared" si="38"/>
        <v>3409.1579999999999</v>
      </c>
      <c r="P18" s="33">
        <f t="shared" si="38"/>
        <v>3309.7579999999998</v>
      </c>
      <c r="Q18" s="33">
        <f t="shared" si="38"/>
        <v>3187.4229999999998</v>
      </c>
      <c r="R18" s="33">
        <f t="shared" si="38"/>
        <v>3159.7669999999998</v>
      </c>
      <c r="S18" s="33">
        <f t="shared" si="38"/>
        <v>3187.83</v>
      </c>
      <c r="T18" s="33">
        <f t="shared" si="38"/>
        <v>3224.3449999999998</v>
      </c>
      <c r="U18" s="33">
        <f t="shared" si="38"/>
        <v>3184.7420000000002</v>
      </c>
      <c r="V18" s="33">
        <f t="shared" si="38"/>
        <v>3288.9140000000002</v>
      </c>
      <c r="W18" s="33">
        <f t="shared" si="38"/>
        <v>3315.0920000000001</v>
      </c>
      <c r="X18" s="33">
        <f t="shared" si="38"/>
        <v>3451.5859999999998</v>
      </c>
      <c r="Y18" s="33">
        <f t="shared" si="38"/>
        <v>3463.4</v>
      </c>
      <c r="Z18" s="33">
        <f t="shared" si="38"/>
        <v>3399.6280000000002</v>
      </c>
      <c r="AA18" s="33">
        <f t="shared" si="38"/>
        <v>3370.857</v>
      </c>
      <c r="AB18" s="33">
        <f t="shared" si="38"/>
        <v>3367.52</v>
      </c>
      <c r="AC18" s="33">
        <f t="shared" si="38"/>
        <v>3375.7830279999998</v>
      </c>
      <c r="AD18" s="33">
        <f t="shared" ref="AD18:AF18" si="39">AD47</f>
        <v>3409.1143700000002</v>
      </c>
      <c r="AE18" s="33">
        <f t="shared" si="39"/>
        <v>3430.7532900000001</v>
      </c>
      <c r="AF18" s="33">
        <f t="shared" si="39"/>
        <v>3377.5199120000002</v>
      </c>
      <c r="AG18" s="33">
        <f>AG47</f>
        <v>3313.952796</v>
      </c>
      <c r="AH18" s="33">
        <f>AH47</f>
        <v>3427.7557379999998</v>
      </c>
      <c r="AI18" s="33">
        <f t="shared" ref="AI18:AJ18" si="40">AI47</f>
        <v>3385.3370240000004</v>
      </c>
      <c r="AJ18" s="33">
        <f t="shared" si="40"/>
        <v>3274.9292110000001</v>
      </c>
      <c r="AK18" s="33">
        <f t="shared" ref="AK18:AL18" si="41">AK47</f>
        <v>3290.9729400000001</v>
      </c>
      <c r="AL18" s="33">
        <f t="shared" si="41"/>
        <v>3366.3847040000001</v>
      </c>
    </row>
    <row r="19" spans="1:38" hidden="1" outlineLevel="1">
      <c r="A19" s="40" t="s">
        <v>1</v>
      </c>
      <c r="B19" s="12"/>
      <c r="C19" s="48">
        <f t="shared" ref="C19:K19" si="42">C48</f>
        <v>5968.5029999999997</v>
      </c>
      <c r="D19" s="48">
        <f t="shared" si="42"/>
        <v>5940.3819999999996</v>
      </c>
      <c r="E19" s="48">
        <f t="shared" si="42"/>
        <v>5910.33</v>
      </c>
      <c r="F19" s="48">
        <f t="shared" si="42"/>
        <v>5893.7039999999997</v>
      </c>
      <c r="G19" s="48">
        <f t="shared" si="42"/>
        <v>5862.2629999999999</v>
      </c>
      <c r="H19" s="48">
        <f t="shared" si="42"/>
        <v>5832.19</v>
      </c>
      <c r="I19" s="48">
        <f t="shared" si="42"/>
        <v>5803.2489999999998</v>
      </c>
      <c r="J19" s="48">
        <f t="shared" si="42"/>
        <v>5783.3379999999997</v>
      </c>
      <c r="K19" s="48">
        <f t="shared" si="42"/>
        <v>5753.3540000000003</v>
      </c>
      <c r="L19" s="48">
        <f t="shared" ref="L19:AC19" si="43">L48</f>
        <v>5725.6270000000004</v>
      </c>
      <c r="M19" s="48">
        <f t="shared" si="43"/>
        <v>5697.9229999999998</v>
      </c>
      <c r="N19" s="48">
        <f t="shared" si="43"/>
        <v>5680.1750000000002</v>
      </c>
      <c r="O19" s="48">
        <f t="shared" si="43"/>
        <v>5648.0069999999996</v>
      </c>
      <c r="P19" s="48">
        <f t="shared" si="43"/>
        <v>5639.8109999999997</v>
      </c>
      <c r="Q19" s="48">
        <f t="shared" si="43"/>
        <v>5609.0630000000001</v>
      </c>
      <c r="R19" s="48">
        <f t="shared" si="43"/>
        <v>5582.0330000000004</v>
      </c>
      <c r="S19" s="48">
        <f t="shared" si="43"/>
        <v>5557.4179999999997</v>
      </c>
      <c r="T19" s="48">
        <f t="shared" si="43"/>
        <v>5535.3850000000002</v>
      </c>
      <c r="U19" s="48">
        <f t="shared" si="43"/>
        <v>5508.1549999999997</v>
      </c>
      <c r="V19" s="48">
        <f t="shared" si="43"/>
        <v>5485.665</v>
      </c>
      <c r="W19" s="48">
        <f t="shared" si="43"/>
        <v>5460.2049999999999</v>
      </c>
      <c r="X19" s="48">
        <f t="shared" si="43"/>
        <v>5435.4629999999997</v>
      </c>
      <c r="Y19" s="48">
        <f t="shared" si="43"/>
        <v>5411.4</v>
      </c>
      <c r="Z19" s="48">
        <f t="shared" si="43"/>
        <v>5382.8370000000004</v>
      </c>
      <c r="AA19" s="48">
        <f t="shared" si="43"/>
        <v>5350.4030000000002</v>
      </c>
      <c r="AB19" s="48">
        <f t="shared" si="43"/>
        <v>5318.6450000000004</v>
      </c>
      <c r="AC19" s="48">
        <f t="shared" si="43"/>
        <v>5288.592952</v>
      </c>
      <c r="AD19" s="48">
        <f t="shared" ref="AD19:AG19" si="44">AD48</f>
        <v>5263.7867079999996</v>
      </c>
      <c r="AE19" s="48">
        <f t="shared" si="44"/>
        <v>5242.0038709999999</v>
      </c>
      <c r="AF19" s="48">
        <f t="shared" si="44"/>
        <v>5210.2130109999998</v>
      </c>
      <c r="AG19" s="48">
        <f t="shared" si="44"/>
        <v>5180.470902</v>
      </c>
      <c r="AH19" s="48">
        <f t="shared" ref="AH19:AJ19" si="45">AH48</f>
        <v>5159.7290599999997</v>
      </c>
      <c r="AI19" s="33">
        <f t="shared" si="45"/>
        <v>5132.8098729999992</v>
      </c>
      <c r="AJ19" s="33">
        <f t="shared" si="45"/>
        <v>5091.7352220000002</v>
      </c>
      <c r="AK19" s="33">
        <f t="shared" ref="AK19:AL19" si="46">AK48</f>
        <v>5063.2530800000004</v>
      </c>
      <c r="AL19" s="48">
        <f t="shared" si="46"/>
        <v>5047.7663890000003</v>
      </c>
    </row>
    <row r="20" spans="1:38" hidden="1" outlineLevel="1">
      <c r="A20" s="40" t="s">
        <v>35</v>
      </c>
      <c r="B20" s="12"/>
      <c r="C20" s="51">
        <f t="shared" ref="C20:K20" si="47">IFERROR(C50+C51+C52+C53,"n.a.")</f>
        <v>264.99</v>
      </c>
      <c r="D20" s="51">
        <f t="shared" si="47"/>
        <v>263.875</v>
      </c>
      <c r="E20" s="51">
        <f t="shared" si="47"/>
        <v>268.815</v>
      </c>
      <c r="F20" s="51">
        <f t="shared" si="47"/>
        <v>246.999</v>
      </c>
      <c r="G20" s="51">
        <f t="shared" si="47"/>
        <v>91.806000000000012</v>
      </c>
      <c r="H20" s="51">
        <f t="shared" si="47"/>
        <v>78.146999999999991</v>
      </c>
      <c r="I20" s="51">
        <f t="shared" si="47"/>
        <v>75.948999999999998</v>
      </c>
      <c r="J20" s="51">
        <f t="shared" si="47"/>
        <v>141.48599999999999</v>
      </c>
      <c r="K20" s="51">
        <f t="shared" si="47"/>
        <v>167.76</v>
      </c>
      <c r="L20" s="51">
        <f t="shared" ref="L20:AC20" si="48">IFERROR(L50+L51+L52+L53,"n.a.")</f>
        <v>155.96899999999999</v>
      </c>
      <c r="M20" s="51">
        <f t="shared" si="48"/>
        <v>145.565</v>
      </c>
      <c r="N20" s="51">
        <f t="shared" si="48"/>
        <v>139.81299999999999</v>
      </c>
      <c r="O20" s="51">
        <f t="shared" si="48"/>
        <v>117.708</v>
      </c>
      <c r="P20" s="51">
        <f t="shared" si="48"/>
        <v>118.148</v>
      </c>
      <c r="Q20" s="51">
        <f t="shared" si="48"/>
        <v>112.33099999999999</v>
      </c>
      <c r="R20" s="51">
        <f t="shared" si="48"/>
        <v>115.30799999999999</v>
      </c>
      <c r="S20" s="51">
        <f t="shared" si="48"/>
        <v>125.39</v>
      </c>
      <c r="T20" s="51">
        <f t="shared" si="48"/>
        <v>127.81200000000001</v>
      </c>
      <c r="U20" s="51">
        <f t="shared" si="48"/>
        <v>129.62199999999999</v>
      </c>
      <c r="V20" s="51">
        <f t="shared" si="48"/>
        <v>137.79300000000001</v>
      </c>
      <c r="W20" s="51">
        <f t="shared" si="48"/>
        <v>135.46899999999999</v>
      </c>
      <c r="X20" s="51">
        <f t="shared" si="48"/>
        <v>130.096</v>
      </c>
      <c r="Y20" s="51">
        <f t="shared" si="48"/>
        <v>131.9</v>
      </c>
      <c r="Z20" s="51">
        <f t="shared" si="48"/>
        <v>128.64630299999999</v>
      </c>
      <c r="AA20" s="51">
        <f t="shared" si="48"/>
        <v>133.60899999999998</v>
      </c>
      <c r="AB20" s="51">
        <f t="shared" si="48"/>
        <v>135.54</v>
      </c>
      <c r="AC20" s="51">
        <f t="shared" si="48"/>
        <v>140.357304</v>
      </c>
      <c r="AD20" s="51">
        <f t="shared" ref="AD20:AG20" si="49">IFERROR(AD50+AD51+AD52+AD53,"n.a.")</f>
        <v>139.23399899999998</v>
      </c>
      <c r="AE20" s="51">
        <f t="shared" si="49"/>
        <v>153.58179899999999</v>
      </c>
      <c r="AF20" s="51">
        <f t="shared" si="49"/>
        <v>160.26613100000003</v>
      </c>
      <c r="AG20" s="51">
        <f t="shared" si="49"/>
        <v>170.27255300000002</v>
      </c>
      <c r="AH20" s="51">
        <f t="shared" ref="AH20:AJ20" si="50">IFERROR(AH50+AH51+AH52+AH53,"n.a.")</f>
        <v>184.08338900000001</v>
      </c>
      <c r="AI20" s="51">
        <f t="shared" si="50"/>
        <v>204.91204000000002</v>
      </c>
      <c r="AJ20" s="51">
        <f t="shared" si="50"/>
        <v>205.24977799999999</v>
      </c>
      <c r="AK20" s="51">
        <f t="shared" ref="AK20:AL20" si="51">IFERROR(AK50+AK51+AK52+AK53,"n.a.")</f>
        <v>218.27196799999999</v>
      </c>
      <c r="AL20" s="51">
        <f t="shared" si="51"/>
        <v>178.99628100000001</v>
      </c>
    </row>
    <row r="21" spans="1:38" collapsed="1">
      <c r="A21" s="16" t="s">
        <v>204</v>
      </c>
      <c r="B21" s="12"/>
      <c r="C21" s="32">
        <f t="shared" ref="C21:K21" si="52">IFERROR(C18+C19+C20,"n.a.")</f>
        <v>9213.5789999999997</v>
      </c>
      <c r="D21" s="32">
        <f t="shared" si="52"/>
        <v>9131.4569999999985</v>
      </c>
      <c r="E21" s="32">
        <f t="shared" si="52"/>
        <v>9147.3639999999996</v>
      </c>
      <c r="F21" s="32">
        <f t="shared" si="52"/>
        <v>9120.9969999999994</v>
      </c>
      <c r="G21" s="32">
        <f t="shared" si="52"/>
        <v>8958.2100000000009</v>
      </c>
      <c r="H21" s="32">
        <f t="shared" si="52"/>
        <v>8881.2210000000014</v>
      </c>
      <c r="I21" s="32">
        <f t="shared" si="52"/>
        <v>8880.6368969658906</v>
      </c>
      <c r="J21" s="32">
        <f t="shared" si="52"/>
        <v>9017.7510000000002</v>
      </c>
      <c r="K21" s="32">
        <f t="shared" si="52"/>
        <v>9542.1489999999994</v>
      </c>
      <c r="L21" s="32">
        <f t="shared" ref="L21:X21" si="53">IFERROR(L18+L19+L20,"n.a.")</f>
        <v>9475.19</v>
      </c>
      <c r="M21" s="32">
        <f t="shared" si="53"/>
        <v>9436.7300000000014</v>
      </c>
      <c r="N21" s="32">
        <f t="shared" si="53"/>
        <v>9469.7970000000005</v>
      </c>
      <c r="O21" s="32">
        <f t="shared" si="53"/>
        <v>9174.8729999999996</v>
      </c>
      <c r="P21" s="32">
        <f t="shared" si="53"/>
        <v>9067.7169999999987</v>
      </c>
      <c r="Q21" s="32">
        <f t="shared" si="53"/>
        <v>8908.8170000000009</v>
      </c>
      <c r="R21" s="32">
        <f t="shared" si="53"/>
        <v>8857.1080000000002</v>
      </c>
      <c r="S21" s="32">
        <f t="shared" si="53"/>
        <v>8870.637999999999</v>
      </c>
      <c r="T21" s="32">
        <f t="shared" si="53"/>
        <v>8887.5419999999995</v>
      </c>
      <c r="U21" s="32">
        <f t="shared" si="53"/>
        <v>8822.5190000000002</v>
      </c>
      <c r="V21" s="32">
        <f t="shared" si="53"/>
        <v>8912.3719999999994</v>
      </c>
      <c r="W21" s="32">
        <f t="shared" si="53"/>
        <v>8910.7659999999996</v>
      </c>
      <c r="X21" s="32">
        <f t="shared" si="53"/>
        <v>9017.1449999999986</v>
      </c>
      <c r="Y21" s="32">
        <f>IFERROR(Y18+Y19+Y20-0.1,"n.a.")</f>
        <v>9006.5999999999985</v>
      </c>
      <c r="Z21" s="32">
        <f>IFERROR(Z18+Z19+Z20,"n.a.")</f>
        <v>8911.1113029999997</v>
      </c>
      <c r="AA21" s="32">
        <f>IFERROR(AA18+AA19+AA20,"n.a.")</f>
        <v>8854.8690000000006</v>
      </c>
      <c r="AB21" s="32">
        <f>IFERROR(AB18+AB19+AB20,"n.a.")</f>
        <v>8821.7050000000017</v>
      </c>
      <c r="AC21" s="32">
        <f>IFERROR(AC18+AC19+AC20-0.1,"n.a.")</f>
        <v>8804.6332839999995</v>
      </c>
      <c r="AD21" s="32">
        <f t="shared" ref="AD21:AI21" si="54">IFERROR(AD18+AD19+AD20,"n.a.")</f>
        <v>8812.135076999999</v>
      </c>
      <c r="AE21" s="32">
        <f t="shared" si="54"/>
        <v>8826.3389599999991</v>
      </c>
      <c r="AF21" s="32">
        <f t="shared" si="54"/>
        <v>8747.9990539999999</v>
      </c>
      <c r="AG21" s="32">
        <f t="shared" si="54"/>
        <v>8664.6962510000012</v>
      </c>
      <c r="AH21" s="32">
        <f t="shared" si="54"/>
        <v>8771.5681869999989</v>
      </c>
      <c r="AI21" s="32">
        <f t="shared" si="54"/>
        <v>8723.058936999998</v>
      </c>
      <c r="AJ21" s="32">
        <f t="shared" ref="AJ21:AK21" si="55">IFERROR(AJ18+AJ19+AJ20,"n.a.")</f>
        <v>8571.9142109999993</v>
      </c>
      <c r="AK21" s="32">
        <f t="shared" si="55"/>
        <v>8572.4979879999992</v>
      </c>
      <c r="AL21" s="32">
        <f t="shared" ref="AL21" si="56">IFERROR(AL18+AL19+AL20,"n.a.")</f>
        <v>8593.1473740000001</v>
      </c>
    </row>
    <row r="22" spans="1:38" hidden="1" outlineLevel="2">
      <c r="A22" s="55" t="s">
        <v>37</v>
      </c>
      <c r="B22" s="12"/>
      <c r="C22" s="51">
        <f t="shared" ref="C22:J23" si="57">C64</f>
        <v>925.51599999999996</v>
      </c>
      <c r="D22" s="51">
        <f t="shared" si="57"/>
        <v>937.12900000000002</v>
      </c>
      <c r="E22" s="51">
        <f t="shared" si="57"/>
        <v>969.26800000000003</v>
      </c>
      <c r="F22" s="51">
        <f t="shared" si="57"/>
        <v>940.66800000000001</v>
      </c>
      <c r="G22" s="51">
        <f t="shared" si="57"/>
        <v>940.22</v>
      </c>
      <c r="H22" s="51">
        <f t="shared" si="57"/>
        <v>983.25099999999998</v>
      </c>
      <c r="I22" s="51">
        <f t="shared" si="57"/>
        <v>1048.921</v>
      </c>
      <c r="J22" s="51">
        <f t="shared" si="57"/>
        <v>1128.4659999999999</v>
      </c>
      <c r="K22" s="51">
        <f t="shared" ref="K22:T22" si="58">K64</f>
        <v>1165.5119999999999</v>
      </c>
      <c r="L22" s="51">
        <f t="shared" si="58"/>
        <v>1165.116</v>
      </c>
      <c r="M22" s="51">
        <f t="shared" si="58"/>
        <v>1103.5440000000001</v>
      </c>
      <c r="N22" s="51">
        <f t="shared" si="58"/>
        <v>1093.7539999999999</v>
      </c>
      <c r="O22" s="51">
        <f t="shared" si="58"/>
        <v>1137.383</v>
      </c>
      <c r="P22" s="51">
        <f t="shared" si="58"/>
        <v>961.50699999999995</v>
      </c>
      <c r="Q22" s="51">
        <f t="shared" si="58"/>
        <v>824.68499999999995</v>
      </c>
      <c r="R22" s="51">
        <f t="shared" si="58"/>
        <v>836.43700000000001</v>
      </c>
      <c r="S22" s="51">
        <f t="shared" si="58"/>
        <v>874.45399999999995</v>
      </c>
      <c r="T22" s="51">
        <f t="shared" si="58"/>
        <v>956.49400000000003</v>
      </c>
      <c r="U22" s="51">
        <f>IFERROR(U64+0.002,"n.a.")</f>
        <v>973.67399999999998</v>
      </c>
      <c r="V22" s="51">
        <f t="shared" ref="V22:X23" si="59">V64</f>
        <v>1092.162</v>
      </c>
      <c r="W22" s="51">
        <f t="shared" si="59"/>
        <v>1221.758</v>
      </c>
      <c r="X22" s="51">
        <f t="shared" si="59"/>
        <v>1396.788</v>
      </c>
      <c r="Y22" s="51">
        <f>IFERROR(Y64+0.002,"n.a.")</f>
        <v>1464.335</v>
      </c>
      <c r="Z22" s="51">
        <f t="shared" ref="Z22:AB23" si="60">Z64</f>
        <v>1457.7108149999999</v>
      </c>
      <c r="AA22" s="51">
        <f t="shared" si="60"/>
        <v>1458.4</v>
      </c>
      <c r="AB22" s="51">
        <f t="shared" si="60"/>
        <v>1418.7149999999999</v>
      </c>
      <c r="AC22" s="51">
        <f>IFERROR(AC64+0.002,"n.a.")</f>
        <v>1376.2803529999999</v>
      </c>
      <c r="AD22" s="51">
        <f>IFERROR(AD64+0.002,"n.a.")</f>
        <v>1371.438384</v>
      </c>
      <c r="AE22" s="51">
        <f t="shared" ref="AE22:AF22" si="61">AE64</f>
        <v>1420.3139759999999</v>
      </c>
      <c r="AF22" s="51">
        <f t="shared" si="61"/>
        <v>1417.668574</v>
      </c>
      <c r="AG22" s="51">
        <f>IFERROR(AG64+0.002,"n.a.")</f>
        <v>1342.702</v>
      </c>
      <c r="AH22" s="51">
        <f>IFERROR(AH64+0.002,"n.a.")</f>
        <v>1467.7088570000001</v>
      </c>
      <c r="AI22" s="51">
        <f t="shared" ref="AI22:AJ22" si="62">AI64</f>
        <v>1503.312666</v>
      </c>
      <c r="AJ22" s="51">
        <f t="shared" si="62"/>
        <v>1445.5461539999999</v>
      </c>
      <c r="AK22" s="51">
        <f t="shared" ref="AK22:AL22" si="63">AK64</f>
        <v>1405.285345</v>
      </c>
      <c r="AL22" s="51">
        <f t="shared" si="63"/>
        <v>1455.546118</v>
      </c>
    </row>
    <row r="23" spans="1:38" hidden="1" outlineLevel="2">
      <c r="A23" s="55" t="s">
        <v>38</v>
      </c>
      <c r="B23" s="12"/>
      <c r="C23" s="51">
        <f t="shared" si="57"/>
        <v>1044.807</v>
      </c>
      <c r="D23" s="51">
        <f t="shared" si="57"/>
        <v>968.36400000000003</v>
      </c>
      <c r="E23" s="51">
        <f t="shared" si="57"/>
        <v>1037.415</v>
      </c>
      <c r="F23" s="51">
        <f t="shared" si="57"/>
        <v>652.48699999999997</v>
      </c>
      <c r="G23" s="51">
        <f t="shared" si="57"/>
        <v>875.88499999999999</v>
      </c>
      <c r="H23" s="51">
        <f t="shared" si="57"/>
        <v>864.43499999999995</v>
      </c>
      <c r="I23" s="51">
        <f t="shared" si="57"/>
        <v>967.745</v>
      </c>
      <c r="J23" s="51">
        <f t="shared" si="57"/>
        <v>627.96799999999996</v>
      </c>
      <c r="K23" s="51">
        <f t="shared" ref="K23:T23" si="64">K65</f>
        <v>858.44200000000001</v>
      </c>
      <c r="L23" s="51">
        <f t="shared" si="64"/>
        <v>862.12</v>
      </c>
      <c r="M23" s="51">
        <f t="shared" si="64"/>
        <v>976.17700000000002</v>
      </c>
      <c r="N23" s="51">
        <f t="shared" si="64"/>
        <v>649.39400000000001</v>
      </c>
      <c r="O23" s="51">
        <f t="shared" si="64"/>
        <v>658.67100000000005</v>
      </c>
      <c r="P23" s="51">
        <f t="shared" si="64"/>
        <v>627.89200000000005</v>
      </c>
      <c r="Q23" s="51">
        <f t="shared" si="64"/>
        <v>949.07</v>
      </c>
      <c r="R23" s="51">
        <f t="shared" si="64"/>
        <v>597.66899999999998</v>
      </c>
      <c r="S23" s="51">
        <f t="shared" si="64"/>
        <v>814.09699999999998</v>
      </c>
      <c r="T23" s="51">
        <f t="shared" si="64"/>
        <v>802.47199999999998</v>
      </c>
      <c r="U23" s="51">
        <f>IFERROR(U65+0.003,"n.a.")</f>
        <v>939.37900000000002</v>
      </c>
      <c r="V23" s="51">
        <f t="shared" si="59"/>
        <v>659.20899999999995</v>
      </c>
      <c r="W23" s="51">
        <f t="shared" si="59"/>
        <v>908.04600000000005</v>
      </c>
      <c r="X23" s="51">
        <f t="shared" si="59"/>
        <v>936.35599999999999</v>
      </c>
      <c r="Y23" s="51">
        <f>IFERROR(Y65+0.003,"n.a.")</f>
        <v>1169.047</v>
      </c>
      <c r="Z23" s="51">
        <f t="shared" si="60"/>
        <v>636.45100000000002</v>
      </c>
      <c r="AA23" s="51">
        <f t="shared" si="60"/>
        <v>928.5</v>
      </c>
      <c r="AB23" s="51">
        <f t="shared" si="60"/>
        <v>895.101</v>
      </c>
      <c r="AC23" s="51">
        <f>IFERROR(AC65+0.003,"n.a.")</f>
        <v>1092.7297369999999</v>
      </c>
      <c r="AD23" s="51">
        <f>IFERROR(AD65,"n.a.")</f>
        <v>649.40598499999999</v>
      </c>
      <c r="AE23" s="51">
        <f t="shared" ref="AE23:AF23" si="65">AE65</f>
        <v>939.7643710000001</v>
      </c>
      <c r="AF23" s="51">
        <f t="shared" si="65"/>
        <v>937.33480000000009</v>
      </c>
      <c r="AG23" s="51">
        <f>IFERROR(AG65+0.003,"n.a.")</f>
        <v>1031.9648849999999</v>
      </c>
      <c r="AH23" s="51">
        <f>IFERROR(AH65+0.003,"n.a.")</f>
        <v>622.91801800000007</v>
      </c>
      <c r="AI23" s="51">
        <f t="shared" ref="AI23:AJ23" si="66">AI65</f>
        <v>1001.219512</v>
      </c>
      <c r="AJ23" s="51">
        <f t="shared" si="66"/>
        <v>896.49468999999999</v>
      </c>
      <c r="AK23" s="51">
        <f t="shared" ref="AK23:AL23" si="67">AK65</f>
        <v>997.30189500000006</v>
      </c>
      <c r="AL23" s="51">
        <f t="shared" si="67"/>
        <v>628.54797599999995</v>
      </c>
    </row>
    <row r="24" spans="1:38" hidden="1" outlineLevel="2">
      <c r="A24" s="55" t="s">
        <v>39</v>
      </c>
      <c r="B24" s="12"/>
      <c r="C24" s="48">
        <f t="shared" ref="C24:J24" si="68">IFERROR(-C95,"n.a.")</f>
        <v>-1062.2349999999999</v>
      </c>
      <c r="D24" s="48">
        <f t="shared" si="68"/>
        <v>-1139.7940000000001</v>
      </c>
      <c r="E24" s="48">
        <f t="shared" si="68"/>
        <v>-1066.8789999999999</v>
      </c>
      <c r="F24" s="48">
        <f t="shared" si="68"/>
        <v>-1673.6420000000001</v>
      </c>
      <c r="G24" s="48">
        <f t="shared" si="68"/>
        <v>-1062.45</v>
      </c>
      <c r="H24" s="48">
        <f t="shared" si="68"/>
        <v>-1052.184</v>
      </c>
      <c r="I24" s="48">
        <f t="shared" si="68"/>
        <v>-1004.992</v>
      </c>
      <c r="J24" s="48">
        <f t="shared" si="68"/>
        <v>-1604.6769999999999</v>
      </c>
      <c r="K24" s="48">
        <f t="shared" ref="K24:T24" si="69">IFERROR(-K95,"n.a.")</f>
        <v>-1222.838</v>
      </c>
      <c r="L24" s="48">
        <f t="shared" si="69"/>
        <v>-1273.7440000000001</v>
      </c>
      <c r="M24" s="48">
        <f t="shared" si="69"/>
        <v>-1201.576</v>
      </c>
      <c r="N24" s="48">
        <f t="shared" si="69"/>
        <v>-1721.088</v>
      </c>
      <c r="O24" s="48">
        <f t="shared" si="69"/>
        <v>-1021.136</v>
      </c>
      <c r="P24" s="48">
        <f t="shared" si="69"/>
        <v>-905.32299999999998</v>
      </c>
      <c r="Q24" s="48">
        <f t="shared" si="69"/>
        <v>-841.01099999999997</v>
      </c>
      <c r="R24" s="48">
        <f t="shared" si="69"/>
        <v>-1316.971</v>
      </c>
      <c r="S24" s="48">
        <f t="shared" si="69"/>
        <v>-914.17000000000007</v>
      </c>
      <c r="T24" s="48">
        <f t="shared" si="69"/>
        <v>-1046.7339999999999</v>
      </c>
      <c r="U24" s="48">
        <f>IFERROR(-U95+0.002,"n.a.")</f>
        <v>-1092.1030000000001</v>
      </c>
      <c r="V24" s="48">
        <f>IFERROR(-V95,"n.a.")</f>
        <v>-1626.367</v>
      </c>
      <c r="W24" s="48">
        <f>IFERROR(-W95,"n.a.")</f>
        <v>-1196.771</v>
      </c>
      <c r="X24" s="48">
        <f>IFERROR(-X95,"n.a.")</f>
        <v>-1454.164</v>
      </c>
      <c r="Y24" s="48">
        <f>IFERROR(-Y95+0.002,"n.a.")</f>
        <v>-1625.268</v>
      </c>
      <c r="Z24" s="48">
        <f t="shared" ref="Z24:AE24" si="70">IFERROR(-Z95,"n.a.")</f>
        <v>-1973.296439</v>
      </c>
      <c r="AA24" s="48">
        <f t="shared" si="70"/>
        <v>-1367.84</v>
      </c>
      <c r="AB24" s="48">
        <f t="shared" si="70"/>
        <v>-1405.095</v>
      </c>
      <c r="AC24" s="48">
        <f t="shared" si="70"/>
        <v>-1484.3230209999999</v>
      </c>
      <c r="AD24" s="48">
        <f t="shared" si="70"/>
        <v>-1999.4181839999999</v>
      </c>
      <c r="AE24" s="48">
        <f t="shared" si="70"/>
        <v>-1460.4498249999999</v>
      </c>
      <c r="AF24" s="48">
        <f t="shared" ref="AF24:AG24" si="71">IFERROR(-AF95,"n.a.")</f>
        <v>-1499.058853</v>
      </c>
      <c r="AG24" s="48">
        <f t="shared" si="71"/>
        <v>-1562.755017</v>
      </c>
      <c r="AH24" s="48">
        <f t="shared" ref="AH24:AJ24" si="72">IFERROR(-AH95,"n.a.")</f>
        <v>-2081.6171899999999</v>
      </c>
      <c r="AI24" s="48">
        <f t="shared" si="72"/>
        <v>-1606.449222</v>
      </c>
      <c r="AJ24" s="48">
        <f t="shared" si="72"/>
        <v>-1573.6713299999999</v>
      </c>
      <c r="AK24" s="48">
        <f t="shared" ref="AK24:AL24" si="73">IFERROR(-AK95,"n.a.")</f>
        <v>-1609.681787</v>
      </c>
      <c r="AL24" s="48">
        <f t="shared" si="73"/>
        <v>-2082.442129</v>
      </c>
    </row>
    <row r="25" spans="1:38" hidden="1" outlineLevel="1">
      <c r="A25" s="40" t="s">
        <v>36</v>
      </c>
      <c r="B25" s="12"/>
      <c r="C25" s="32">
        <f t="shared" ref="C25:J25" si="74">IFERROR(C22+C23+C24,"n.a.")</f>
        <v>908.08799999999997</v>
      </c>
      <c r="D25" s="32">
        <f t="shared" si="74"/>
        <v>765.69899999999984</v>
      </c>
      <c r="E25" s="32">
        <f t="shared" si="74"/>
        <v>939.80400000000009</v>
      </c>
      <c r="F25" s="32">
        <f t="shared" si="74"/>
        <v>-80.48700000000008</v>
      </c>
      <c r="G25" s="32">
        <f t="shared" si="74"/>
        <v>753.65499999999997</v>
      </c>
      <c r="H25" s="32">
        <f t="shared" si="74"/>
        <v>795.50199999999995</v>
      </c>
      <c r="I25" s="32">
        <f t="shared" si="74"/>
        <v>1011.6740000000002</v>
      </c>
      <c r="J25" s="32">
        <f t="shared" si="74"/>
        <v>151.75699999999983</v>
      </c>
      <c r="K25" s="32">
        <f t="shared" ref="K25:S25" si="75">IFERROR(K22+K23+K24,"n.a.")</f>
        <v>801.11599999999999</v>
      </c>
      <c r="L25" s="32">
        <f t="shared" si="75"/>
        <v>753.49199999999973</v>
      </c>
      <c r="M25" s="32">
        <f t="shared" si="75"/>
        <v>878.14499999999998</v>
      </c>
      <c r="N25" s="32">
        <f t="shared" si="75"/>
        <v>22.059999999999945</v>
      </c>
      <c r="O25" s="32">
        <f t="shared" si="75"/>
        <v>774.91800000000012</v>
      </c>
      <c r="P25" s="32">
        <f t="shared" si="75"/>
        <v>684.07599999999991</v>
      </c>
      <c r="Q25" s="32">
        <f t="shared" si="75"/>
        <v>932.74400000000014</v>
      </c>
      <c r="R25" s="32">
        <f t="shared" si="75"/>
        <v>117.13499999999999</v>
      </c>
      <c r="S25" s="32">
        <f t="shared" si="75"/>
        <v>774.38099999999986</v>
      </c>
      <c r="T25" s="32">
        <f>IFERROR(T22+T23+T24+0.02,"n.a.")</f>
        <v>712.25199999999995</v>
      </c>
      <c r="U25" s="32">
        <f>IFERROR(U22+U23+U24,"n.a.")</f>
        <v>820.94999999999982</v>
      </c>
      <c r="V25" s="32">
        <f>IFERROR(V22+V23+V24,"n.a.")</f>
        <v>125.00400000000013</v>
      </c>
      <c r="W25" s="32">
        <f>IFERROR(W22+W23+W24,"n.a.")</f>
        <v>933.03300000000013</v>
      </c>
      <c r="X25" s="32">
        <f>IFERROR(X22+X23+X24,"n.a.")</f>
        <v>878.98000000000025</v>
      </c>
      <c r="Y25" s="32">
        <f>IFERROR(Y22+Y23+Y24-0.1,"n.a.")</f>
        <v>1008.014</v>
      </c>
      <c r="Z25" s="32">
        <f t="shared" ref="Z25:AE25" si="76">IFERROR(Z22+Z23+Z24,"n.a.")</f>
        <v>120.86537599999997</v>
      </c>
      <c r="AA25" s="32">
        <f t="shared" si="76"/>
        <v>1019.0600000000002</v>
      </c>
      <c r="AB25" s="32">
        <f t="shared" si="76"/>
        <v>908.72099999999978</v>
      </c>
      <c r="AC25" s="32">
        <f t="shared" si="76"/>
        <v>984.68706899999984</v>
      </c>
      <c r="AD25" s="32">
        <f t="shared" si="76"/>
        <v>21.426185000000032</v>
      </c>
      <c r="AE25" s="32">
        <f t="shared" si="76"/>
        <v>899.6285220000002</v>
      </c>
      <c r="AF25" s="32">
        <f t="shared" ref="AF25:AG25" si="77">IFERROR(AF22+AF23+AF24,"n.a.")</f>
        <v>855.9445209999999</v>
      </c>
      <c r="AG25" s="32">
        <f t="shared" si="77"/>
        <v>811.91186799999969</v>
      </c>
      <c r="AH25" s="32">
        <f t="shared" ref="AH25:AJ25" si="78">IFERROR(AH22+AH23+AH24,"n.a.")</f>
        <v>9.0096849999999904</v>
      </c>
      <c r="AI25" s="32">
        <f t="shared" si="78"/>
        <v>898.08295599999997</v>
      </c>
      <c r="AJ25" s="32">
        <f t="shared" si="78"/>
        <v>768.36951400000021</v>
      </c>
      <c r="AK25" s="32">
        <f t="shared" ref="AK25:AL25" si="79">IFERROR(AK22+AK23+AK24,"n.a.")</f>
        <v>792.90545299999985</v>
      </c>
      <c r="AL25" s="32">
        <f t="shared" si="79"/>
        <v>1.6519650000000183</v>
      </c>
    </row>
    <row r="26" spans="1:38" hidden="1" outlineLevel="1">
      <c r="A26" s="40" t="s">
        <v>40</v>
      </c>
      <c r="B26" s="12"/>
      <c r="C26" s="51">
        <f t="shared" ref="C26:P26" si="80">IFERROR(C56+C58+C60+C67+C72+C74-C85-C89-C91-C96-C97-C100-C102,"n.a.")</f>
        <v>42.48100000000008</v>
      </c>
      <c r="D26" s="51">
        <f t="shared" si="80"/>
        <v>31.345000000000066</v>
      </c>
      <c r="E26" s="51">
        <f t="shared" si="80"/>
        <v>-47.239999999999995</v>
      </c>
      <c r="F26" s="51">
        <f t="shared" si="80"/>
        <v>-153.68900000000005</v>
      </c>
      <c r="G26" s="51">
        <f t="shared" si="80"/>
        <v>-14.944999999999883</v>
      </c>
      <c r="H26" s="51">
        <f t="shared" si="80"/>
        <v>28.118000000000048</v>
      </c>
      <c r="I26" s="51">
        <f t="shared" si="80"/>
        <v>26.441999999999943</v>
      </c>
      <c r="J26" s="51">
        <f t="shared" si="80"/>
        <v>-39.651000000000039</v>
      </c>
      <c r="K26" s="51">
        <f t="shared" si="80"/>
        <v>154.374</v>
      </c>
      <c r="L26" s="51">
        <f t="shared" si="80"/>
        <v>316.99</v>
      </c>
      <c r="M26" s="51">
        <f t="shared" si="80"/>
        <v>285.48000000000008</v>
      </c>
      <c r="N26" s="51">
        <f t="shared" si="80"/>
        <v>190.67499999999995</v>
      </c>
      <c r="O26" s="51">
        <f t="shared" si="80"/>
        <v>223.27999999999997</v>
      </c>
      <c r="P26" s="51">
        <f t="shared" si="80"/>
        <v>191.88200000000001</v>
      </c>
      <c r="Q26" s="51">
        <f t="shared" ref="Q26:W26" si="81">IFERROR(Q56+Q58+Q60+Q67+Q72+Q74-Q85-Q89-Q91-Q96-Q97-Q100-Q102,"n.a.")</f>
        <v>83.451000000000164</v>
      </c>
      <c r="R26" s="51">
        <f t="shared" si="81"/>
        <v>23.265000000000114</v>
      </c>
      <c r="S26" s="51">
        <f t="shared" si="81"/>
        <v>54.232999999999919</v>
      </c>
      <c r="T26" s="51">
        <f t="shared" si="81"/>
        <v>48.287000000000049</v>
      </c>
      <c r="U26" s="51">
        <f t="shared" si="81"/>
        <v>18.743000000000087</v>
      </c>
      <c r="V26" s="51">
        <f t="shared" si="81"/>
        <v>0.78500000000002501</v>
      </c>
      <c r="W26" s="51">
        <f t="shared" si="81"/>
        <v>111.21499999999997</v>
      </c>
      <c r="X26" s="51">
        <f>IFERROR(X56+X58+X60+X67+X72+X74-X85-X89-X91-X96-X97-X100-X102-0.1,"n.a.")</f>
        <v>100.16323800000004</v>
      </c>
      <c r="Y26" s="51">
        <f>IFERROR(Y56+Y58+Y60+Y67+Y72+Y74-Y85-Y89-Y91-Y96-Y97-Y100-Y102-0.1,"n.a.")</f>
        <v>69.77</v>
      </c>
      <c r="Z26" s="51">
        <f>IFERROR(Z56+Z58+Z60+Z67+Z72+Z74-Z85-Z89-Z91-Z96-Z97-Z100-Z102,"n.a.")</f>
        <v>42.312348999998946</v>
      </c>
      <c r="AA26" s="51">
        <f>IFERROR(AA56+AA58+AA60+AA67+AA72+AA74-AA85-AA89-AA91-AA96-AA97-AA100-AA102-0.1,"n.a.")</f>
        <v>5.1819999999999933</v>
      </c>
      <c r="AB26" s="51">
        <f>IFERROR(AB56+AB58+AB60+AB67+AB72+AB74-AB85-AB89-AB91-AB96-AB97-AB100-AB102+0.045,"n.a.")</f>
        <v>-101.70800000000013</v>
      </c>
      <c r="AC26" s="51">
        <f t="shared" ref="AC26:AH26" si="82">IFERROR(AC56+AC58+AC60+AC67+AC72+AC74-AC85-AC89-AC91-AC96-AC97-AC100-AC102,"n.a.")</f>
        <v>57.865125000000425</v>
      </c>
      <c r="AD26" s="51">
        <f t="shared" si="82"/>
        <v>45.799319999999867</v>
      </c>
      <c r="AE26" s="51">
        <f t="shared" si="82"/>
        <v>83.249655000000047</v>
      </c>
      <c r="AF26" s="51">
        <f t="shared" si="82"/>
        <v>114.64049300000003</v>
      </c>
      <c r="AG26" s="51">
        <f t="shared" si="82"/>
        <v>78.647042000000184</v>
      </c>
      <c r="AH26" s="51">
        <f t="shared" si="82"/>
        <v>42.197958999999884</v>
      </c>
      <c r="AI26" s="51">
        <f>IFERROR(AI56+AI58+AI60+AI67+AI72+AI74-AI85-AI89-AI91-AI96-AI97-AI100-AI102,"n.a.")</f>
        <v>-8.4040369999999776</v>
      </c>
      <c r="AJ26" s="51">
        <f t="shared" ref="AJ26:AK26" si="83">IFERROR(AJ56+AJ58+AJ60+AJ67+AJ72+AJ74-AJ85-AJ89-AJ91-AJ96-AJ97-AJ100-AJ102,"n.a.")</f>
        <v>10.342846999999878</v>
      </c>
      <c r="AK26" s="51">
        <f t="shared" si="83"/>
        <v>1.5273279999999616</v>
      </c>
      <c r="AL26" s="51">
        <f t="shared" ref="AL26" si="84">IFERROR(AL56+AL58+AL60+AL67+AL72+AL74-AL85-AL89-AL91-AL96-AL97-AL100-AL102,"n.a.")</f>
        <v>-71.534479000000076</v>
      </c>
    </row>
    <row r="27" spans="1:38" collapsed="1">
      <c r="A27" s="16" t="s">
        <v>41</v>
      </c>
      <c r="B27" s="12"/>
      <c r="C27" s="32">
        <f t="shared" ref="C27:J27" si="85">IFERROR(C25+C26,"n.a.")</f>
        <v>950.56900000000007</v>
      </c>
      <c r="D27" s="32">
        <f t="shared" si="85"/>
        <v>797.04399999999987</v>
      </c>
      <c r="E27" s="32">
        <f t="shared" si="85"/>
        <v>892.56400000000008</v>
      </c>
      <c r="F27" s="32">
        <f t="shared" si="85"/>
        <v>-234.17600000000013</v>
      </c>
      <c r="G27" s="32">
        <f t="shared" si="85"/>
        <v>738.71</v>
      </c>
      <c r="H27" s="32">
        <f t="shared" si="85"/>
        <v>823.62</v>
      </c>
      <c r="I27" s="32">
        <f t="shared" si="85"/>
        <v>1038.1160000000002</v>
      </c>
      <c r="J27" s="32">
        <f t="shared" si="85"/>
        <v>112.1059999999998</v>
      </c>
      <c r="K27" s="32">
        <f t="shared" ref="K27:S27" si="86">IFERROR(K25+K26,"n.a.")</f>
        <v>955.49</v>
      </c>
      <c r="L27" s="32">
        <f t="shared" si="86"/>
        <v>1070.4819999999997</v>
      </c>
      <c r="M27" s="32">
        <f t="shared" si="86"/>
        <v>1163.625</v>
      </c>
      <c r="N27" s="32">
        <f t="shared" si="86"/>
        <v>212.7349999999999</v>
      </c>
      <c r="O27" s="32">
        <f t="shared" si="86"/>
        <v>998.19800000000009</v>
      </c>
      <c r="P27" s="32">
        <f t="shared" si="86"/>
        <v>875.95799999999986</v>
      </c>
      <c r="Q27" s="32">
        <f t="shared" si="86"/>
        <v>1016.1950000000003</v>
      </c>
      <c r="R27" s="32">
        <f t="shared" si="86"/>
        <v>140.40000000000009</v>
      </c>
      <c r="S27" s="32">
        <f t="shared" si="86"/>
        <v>828.61399999999981</v>
      </c>
      <c r="T27" s="32">
        <f>IFERROR(T25+T26+0.02,"n.a.")</f>
        <v>760.55899999999997</v>
      </c>
      <c r="U27" s="32">
        <f t="shared" ref="U27:Z27" si="87">IFERROR(U25+U26,"n.a.")</f>
        <v>839.69299999999987</v>
      </c>
      <c r="V27" s="32">
        <f t="shared" si="87"/>
        <v>125.78900000000016</v>
      </c>
      <c r="W27" s="32">
        <f t="shared" si="87"/>
        <v>1044.248</v>
      </c>
      <c r="X27" s="32">
        <f t="shared" si="87"/>
        <v>979.14323800000034</v>
      </c>
      <c r="Y27" s="32">
        <f t="shared" si="87"/>
        <v>1077.7840000000001</v>
      </c>
      <c r="Z27" s="32">
        <f t="shared" si="87"/>
        <v>163.17772499999893</v>
      </c>
      <c r="AA27" s="32">
        <f>IFERROR(AA25+AA26,"n.a.")+0.1</f>
        <v>1024.3420000000001</v>
      </c>
      <c r="AB27" s="32">
        <f>IFERROR(AB25+AB26,"n.a.")</f>
        <v>807.01299999999969</v>
      </c>
      <c r="AC27" s="32">
        <f>IFERROR(AC25+AC26,"n.a.")</f>
        <v>1042.5521940000003</v>
      </c>
      <c r="AD27" s="32">
        <f>IFERROR(AD25+AD26,"n.a.")</f>
        <v>67.225504999999899</v>
      </c>
      <c r="AE27" s="32">
        <f>IFERROR(AE25+AE26,"n.a.")</f>
        <v>982.87817700000028</v>
      </c>
      <c r="AF27" s="32">
        <f>IFERROR(AF25+AF26,"n.a.")-0.1</f>
        <v>970.48501399999986</v>
      </c>
      <c r="AG27" s="32">
        <f t="shared" ref="AG27:AL27" si="88">IFERROR(AG25+AG26,"n.a.")</f>
        <v>890.55890999999986</v>
      </c>
      <c r="AH27" s="32">
        <f t="shared" si="88"/>
        <v>51.207643999999874</v>
      </c>
      <c r="AI27" s="32">
        <f t="shared" si="88"/>
        <v>889.67891899999995</v>
      </c>
      <c r="AJ27" s="32">
        <f t="shared" si="88"/>
        <v>778.7123610000001</v>
      </c>
      <c r="AK27" s="32">
        <f t="shared" si="88"/>
        <v>794.43278099999986</v>
      </c>
      <c r="AL27" s="32">
        <f t="shared" si="88"/>
        <v>-69.882514000000057</v>
      </c>
    </row>
    <row r="28" spans="1:38" hidden="1" outlineLevel="2">
      <c r="A28" s="56" t="s">
        <v>111</v>
      </c>
      <c r="B28" s="12"/>
      <c r="C28" s="52">
        <f t="shared" ref="C28:J28" si="89">IFERROR(C21+C27,"n.a.")</f>
        <v>10164.147999999999</v>
      </c>
      <c r="D28" s="52">
        <f t="shared" si="89"/>
        <v>9928.5009999999984</v>
      </c>
      <c r="E28" s="52">
        <f t="shared" si="89"/>
        <v>10039.928</v>
      </c>
      <c r="F28" s="52">
        <f t="shared" si="89"/>
        <v>8886.8209999999999</v>
      </c>
      <c r="G28" s="52">
        <f t="shared" si="89"/>
        <v>9696.9200000000019</v>
      </c>
      <c r="H28" s="52">
        <f t="shared" si="89"/>
        <v>9704.8410000000022</v>
      </c>
      <c r="I28" s="52">
        <f t="shared" si="89"/>
        <v>9918.7528969658906</v>
      </c>
      <c r="J28" s="52">
        <f t="shared" si="89"/>
        <v>9129.857</v>
      </c>
      <c r="K28" s="52">
        <f t="shared" ref="K28:AC28" si="90">IFERROR(K21+K27,"n.a.")</f>
        <v>10497.638999999999</v>
      </c>
      <c r="L28" s="52">
        <f t="shared" si="90"/>
        <v>10545.672</v>
      </c>
      <c r="M28" s="52">
        <f t="shared" si="90"/>
        <v>10600.355000000001</v>
      </c>
      <c r="N28" s="52">
        <f t="shared" si="90"/>
        <v>9682.5320000000011</v>
      </c>
      <c r="O28" s="52">
        <f t="shared" si="90"/>
        <v>10173.071</v>
      </c>
      <c r="P28" s="52">
        <f t="shared" si="90"/>
        <v>9943.6749999999993</v>
      </c>
      <c r="Q28" s="52">
        <f t="shared" si="90"/>
        <v>9925.0120000000006</v>
      </c>
      <c r="R28" s="52">
        <f t="shared" si="90"/>
        <v>8997.5079999999998</v>
      </c>
      <c r="S28" s="52">
        <f t="shared" si="90"/>
        <v>9699.2519999999986</v>
      </c>
      <c r="T28" s="52">
        <f t="shared" si="90"/>
        <v>9648.1009999999987</v>
      </c>
      <c r="U28" s="52">
        <f t="shared" si="90"/>
        <v>9662.2119999999995</v>
      </c>
      <c r="V28" s="52">
        <f t="shared" si="90"/>
        <v>9038.1610000000001</v>
      </c>
      <c r="W28" s="52">
        <f t="shared" si="90"/>
        <v>9955.0139999999992</v>
      </c>
      <c r="X28" s="52">
        <f t="shared" si="90"/>
        <v>9996.2882379999992</v>
      </c>
      <c r="Y28" s="52">
        <f t="shared" si="90"/>
        <v>10084.383999999998</v>
      </c>
      <c r="Z28" s="52">
        <f t="shared" si="90"/>
        <v>9074.2890279999992</v>
      </c>
      <c r="AA28" s="52">
        <f t="shared" si="90"/>
        <v>9879.2110000000011</v>
      </c>
      <c r="AB28" s="52">
        <f t="shared" si="90"/>
        <v>9628.7180000000008</v>
      </c>
      <c r="AC28" s="52">
        <f t="shared" si="90"/>
        <v>9847.1854779999994</v>
      </c>
      <c r="AD28" s="52">
        <f t="shared" ref="AD28:AG28" si="91">IFERROR(AD21+AD27,"n.a.")</f>
        <v>8879.3605819999993</v>
      </c>
      <c r="AE28" s="52">
        <f t="shared" si="91"/>
        <v>9809.2171369999996</v>
      </c>
      <c r="AF28" s="52">
        <f t="shared" si="91"/>
        <v>9718.4840679999998</v>
      </c>
      <c r="AG28" s="52">
        <f t="shared" si="91"/>
        <v>9555.255161000001</v>
      </c>
      <c r="AH28" s="52">
        <f t="shared" ref="AH28:AJ28" si="92">IFERROR(AH21+AH27,"n.a.")</f>
        <v>8822.775830999999</v>
      </c>
      <c r="AI28" s="52">
        <f t="shared" si="92"/>
        <v>9612.7378559999979</v>
      </c>
      <c r="AJ28" s="52">
        <f t="shared" si="92"/>
        <v>9350.6265719999992</v>
      </c>
      <c r="AK28" s="52">
        <f t="shared" ref="AK28:AL28" si="93">IFERROR(AK21+AK27,"n.a.")</f>
        <v>9366.9307689999987</v>
      </c>
      <c r="AL28" s="52">
        <f t="shared" si="93"/>
        <v>8523.2648599999993</v>
      </c>
    </row>
    <row r="29" spans="1:38" hidden="1" outlineLevel="2">
      <c r="A29" s="56" t="s">
        <v>106</v>
      </c>
      <c r="B29" s="12"/>
      <c r="C29" s="51">
        <f t="shared" ref="C29:I29" si="94">IFERROR(C77-C105,"n.a.")</f>
        <v>78.363</v>
      </c>
      <c r="D29" s="51">
        <f t="shared" si="94"/>
        <v>0</v>
      </c>
      <c r="E29" s="51">
        <f t="shared" si="94"/>
        <v>-1.4230000000000018</v>
      </c>
      <c r="F29" s="51">
        <f t="shared" si="94"/>
        <v>60.728999999999999</v>
      </c>
      <c r="G29" s="51">
        <f t="shared" si="94"/>
        <v>51.256999999999998</v>
      </c>
      <c r="H29" s="51">
        <f t="shared" si="94"/>
        <v>38.610999999999997</v>
      </c>
      <c r="I29" s="51">
        <f t="shared" si="94"/>
        <v>11.433999999999999</v>
      </c>
      <c r="J29" s="51">
        <f>IFERROR(J77-J105,"n.a.")</f>
        <v>10.677</v>
      </c>
      <c r="K29" s="51">
        <f>IFERROR(K77-K105,"n.a.")</f>
        <v>0.79600000000000004</v>
      </c>
      <c r="L29" s="51">
        <f>IFERROR(L77-L105,"n.a.")</f>
        <v>0.8</v>
      </c>
      <c r="M29" s="51">
        <f>IFERROR(M77-M105,"n.a.")</f>
        <v>0.8</v>
      </c>
      <c r="N29" s="51">
        <f t="shared" ref="N29:S29" si="95">IFERROR(N77-N105,"n.a.")</f>
        <v>0</v>
      </c>
      <c r="O29" s="51">
        <f t="shared" si="95"/>
        <v>0</v>
      </c>
      <c r="P29" s="51">
        <f t="shared" si="95"/>
        <v>0</v>
      </c>
      <c r="Q29" s="51">
        <f t="shared" si="95"/>
        <v>0</v>
      </c>
      <c r="R29" s="51">
        <f t="shared" si="95"/>
        <v>0</v>
      </c>
      <c r="S29" s="51">
        <f t="shared" si="95"/>
        <v>0</v>
      </c>
      <c r="T29" s="51">
        <f t="shared" ref="T29:AC29" si="96">IFERROR(T77-T105,"n.a.")</f>
        <v>0</v>
      </c>
      <c r="U29" s="51">
        <f t="shared" si="96"/>
        <v>0</v>
      </c>
      <c r="V29" s="51">
        <f t="shared" si="96"/>
        <v>0</v>
      </c>
      <c r="W29" s="51">
        <f t="shared" si="96"/>
        <v>0</v>
      </c>
      <c r="X29" s="51">
        <f t="shared" si="96"/>
        <v>0</v>
      </c>
      <c r="Y29" s="51">
        <f t="shared" si="96"/>
        <v>0</v>
      </c>
      <c r="Z29" s="51">
        <f t="shared" si="96"/>
        <v>0</v>
      </c>
      <c r="AA29" s="51">
        <f t="shared" si="96"/>
        <v>0</v>
      </c>
      <c r="AB29" s="51">
        <f t="shared" si="96"/>
        <v>0</v>
      </c>
      <c r="AC29" s="51">
        <f t="shared" si="96"/>
        <v>0</v>
      </c>
      <c r="AD29" s="51">
        <f t="shared" ref="AD29:AG29" si="97">IFERROR(AD77-AD105,"n.a.")</f>
        <v>0</v>
      </c>
      <c r="AE29" s="51">
        <f t="shared" si="97"/>
        <v>0</v>
      </c>
      <c r="AF29" s="51">
        <f t="shared" si="97"/>
        <v>0</v>
      </c>
      <c r="AG29" s="51">
        <f t="shared" si="97"/>
        <v>0</v>
      </c>
      <c r="AH29" s="51">
        <f t="shared" ref="AH29:AJ29" si="98">IFERROR(AH77-AH105,"n.a.")</f>
        <v>0</v>
      </c>
      <c r="AI29" s="51">
        <f t="shared" si="98"/>
        <v>0</v>
      </c>
      <c r="AJ29" s="51">
        <f t="shared" si="98"/>
        <v>0</v>
      </c>
      <c r="AK29" s="51">
        <f t="shared" ref="AK29:AL29" si="99">IFERROR(AK77-AK105,"n.a.")</f>
        <v>0</v>
      </c>
      <c r="AL29" s="51">
        <f t="shared" si="99"/>
        <v>0</v>
      </c>
    </row>
    <row r="30" spans="1:38" s="14" customFormat="1" ht="13" collapsed="1">
      <c r="A30" s="70" t="s">
        <v>42</v>
      </c>
      <c r="B30" s="64"/>
      <c r="C30" s="65">
        <f t="shared" ref="C30:H30" si="100">SUM(C29,C28)</f>
        <v>10242.510999999999</v>
      </c>
      <c r="D30" s="65">
        <f t="shared" si="100"/>
        <v>9928.5009999999984</v>
      </c>
      <c r="E30" s="65">
        <f t="shared" si="100"/>
        <v>10038.504999999999</v>
      </c>
      <c r="F30" s="65">
        <f t="shared" si="100"/>
        <v>8947.5499999999993</v>
      </c>
      <c r="G30" s="65">
        <f t="shared" si="100"/>
        <v>9748.1770000000015</v>
      </c>
      <c r="H30" s="65">
        <f t="shared" si="100"/>
        <v>9743.452000000003</v>
      </c>
      <c r="I30" s="71">
        <f t="shared" ref="I30:N30" si="101">IFERROR(I28+I29,"n.a.")</f>
        <v>9930.1868969658899</v>
      </c>
      <c r="J30" s="71">
        <f t="shared" si="101"/>
        <v>9140.5339999999997</v>
      </c>
      <c r="K30" s="65">
        <f t="shared" si="101"/>
        <v>10498.434999999999</v>
      </c>
      <c r="L30" s="65">
        <f t="shared" si="101"/>
        <v>10546.472</v>
      </c>
      <c r="M30" s="71">
        <f t="shared" si="101"/>
        <v>10601.155000000001</v>
      </c>
      <c r="N30" s="71">
        <f t="shared" si="101"/>
        <v>9682.5320000000011</v>
      </c>
      <c r="O30" s="65">
        <f t="shared" ref="O30:AC30" si="102">IFERROR(O28+O29,"n.a.")</f>
        <v>10173.071</v>
      </c>
      <c r="P30" s="65">
        <f t="shared" si="102"/>
        <v>9943.6749999999993</v>
      </c>
      <c r="Q30" s="65">
        <f t="shared" si="102"/>
        <v>9925.0120000000006</v>
      </c>
      <c r="R30" s="71">
        <f t="shared" si="102"/>
        <v>8997.5079999999998</v>
      </c>
      <c r="S30" s="65">
        <f t="shared" si="102"/>
        <v>9699.2519999999986</v>
      </c>
      <c r="T30" s="65">
        <f t="shared" si="102"/>
        <v>9648.1009999999987</v>
      </c>
      <c r="U30" s="65">
        <f t="shared" si="102"/>
        <v>9662.2119999999995</v>
      </c>
      <c r="V30" s="71">
        <f t="shared" si="102"/>
        <v>9038.1610000000001</v>
      </c>
      <c r="W30" s="65">
        <f t="shared" si="102"/>
        <v>9955.0139999999992</v>
      </c>
      <c r="X30" s="65">
        <f t="shared" si="102"/>
        <v>9996.2882379999992</v>
      </c>
      <c r="Y30" s="65">
        <f t="shared" si="102"/>
        <v>10084.383999999998</v>
      </c>
      <c r="Z30" s="71">
        <f t="shared" si="102"/>
        <v>9074.2890279999992</v>
      </c>
      <c r="AA30" s="65">
        <f t="shared" si="102"/>
        <v>9879.2110000000011</v>
      </c>
      <c r="AB30" s="65">
        <f t="shared" si="102"/>
        <v>9628.7180000000008</v>
      </c>
      <c r="AC30" s="65">
        <f t="shared" si="102"/>
        <v>9847.1854779999994</v>
      </c>
      <c r="AD30" s="71">
        <f t="shared" ref="AD30:AG30" si="103">IFERROR(AD28+AD29,"n.a.")</f>
        <v>8879.3605819999993</v>
      </c>
      <c r="AE30" s="65">
        <f t="shared" si="103"/>
        <v>9809.2171369999996</v>
      </c>
      <c r="AF30" s="65">
        <f t="shared" si="103"/>
        <v>9718.4840679999998</v>
      </c>
      <c r="AG30" s="65">
        <f t="shared" si="103"/>
        <v>9555.255161000001</v>
      </c>
      <c r="AH30" s="71">
        <f t="shared" ref="AH30:AJ30" si="104">IFERROR(AH28+AH29,"n.a.")</f>
        <v>8822.775830999999</v>
      </c>
      <c r="AI30" s="65">
        <f t="shared" si="104"/>
        <v>9612.7378559999979</v>
      </c>
      <c r="AJ30" s="65">
        <f t="shared" si="104"/>
        <v>9350.6265719999992</v>
      </c>
      <c r="AK30" s="65">
        <f t="shared" ref="AK30:AL30" si="105">IFERROR(AK28+AK29,"n.a.")</f>
        <v>9366.9307689999987</v>
      </c>
      <c r="AL30" s="65">
        <f t="shared" si="105"/>
        <v>8523.2648599999993</v>
      </c>
    </row>
    <row r="31" spans="1:38">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row>
    <row r="32" spans="1:38">
      <c r="A32" s="19" t="s">
        <v>43</v>
      </c>
      <c r="B32" s="17"/>
      <c r="C32" s="33">
        <f t="shared" ref="C32:G32" si="106">C115</f>
        <v>3002.8809999999994</v>
      </c>
      <c r="D32" s="33">
        <f t="shared" si="106"/>
        <v>4057.3070000000002</v>
      </c>
      <c r="E32" s="33">
        <f t="shared" si="106"/>
        <v>4159.567</v>
      </c>
      <c r="F32" s="33">
        <f t="shared" si="106"/>
        <v>4177.009</v>
      </c>
      <c r="G32" s="33">
        <f t="shared" si="106"/>
        <v>4267.6189999999997</v>
      </c>
      <c r="H32" s="33">
        <f t="shared" ref="H32:AC32" si="107">H115</f>
        <v>4323.2389999999996</v>
      </c>
      <c r="I32" s="33">
        <f t="shared" si="107"/>
        <v>4464.8</v>
      </c>
      <c r="J32" s="33">
        <f t="shared" si="107"/>
        <v>4550.9269999999997</v>
      </c>
      <c r="K32" s="33">
        <f t="shared" si="107"/>
        <v>4687.9079999999994</v>
      </c>
      <c r="L32" s="33">
        <f t="shared" si="107"/>
        <v>4663.7139999999999</v>
      </c>
      <c r="M32" s="33">
        <f t="shared" si="107"/>
        <v>4742.402</v>
      </c>
      <c r="N32" s="33">
        <f t="shared" si="107"/>
        <v>4826.6310000000003</v>
      </c>
      <c r="O32" s="33">
        <f t="shared" si="107"/>
        <v>4590.2709999999997</v>
      </c>
      <c r="P32" s="33">
        <f t="shared" si="107"/>
        <v>4404.1440000000002</v>
      </c>
      <c r="Q32" s="33">
        <f t="shared" si="107"/>
        <v>4403.8740000000007</v>
      </c>
      <c r="R32" s="33">
        <f t="shared" si="107"/>
        <v>4551.8500000000004</v>
      </c>
      <c r="S32" s="33">
        <f t="shared" si="107"/>
        <v>4632.7969999999996</v>
      </c>
      <c r="T32" s="33">
        <f t="shared" si="107"/>
        <v>4798.6719999999996</v>
      </c>
      <c r="U32" s="33">
        <f t="shared" si="107"/>
        <v>4910.9470000000001</v>
      </c>
      <c r="V32" s="33">
        <f t="shared" si="107"/>
        <v>5042.6390000000001</v>
      </c>
      <c r="W32" s="33">
        <f t="shared" si="107"/>
        <v>5293.9880000000003</v>
      </c>
      <c r="X32" s="33">
        <f t="shared" si="107"/>
        <v>5419.6070019999997</v>
      </c>
      <c r="Y32" s="33">
        <f t="shared" si="107"/>
        <v>5646.63</v>
      </c>
      <c r="Z32" s="33">
        <f t="shared" si="107"/>
        <v>5453.8283180000008</v>
      </c>
      <c r="AA32" s="33">
        <f t="shared" si="107"/>
        <v>5581.2070000000003</v>
      </c>
      <c r="AB32" s="33">
        <f t="shared" si="107"/>
        <v>5455.6010000000006</v>
      </c>
      <c r="AC32" s="33">
        <f t="shared" si="107"/>
        <v>5631.9600970000001</v>
      </c>
      <c r="AD32" s="33">
        <f t="shared" ref="AD32:AG32" si="108">AD115</f>
        <v>5619.5939649999991</v>
      </c>
      <c r="AE32" s="33">
        <f t="shared" si="108"/>
        <v>5868.6894979999997</v>
      </c>
      <c r="AF32" s="33">
        <f t="shared" si="108"/>
        <v>5713.2904090000011</v>
      </c>
      <c r="AG32" s="33">
        <f t="shared" si="108"/>
        <v>5709.1454400000002</v>
      </c>
      <c r="AH32" s="33">
        <f t="shared" ref="AH32:AJ32" si="109">AH115</f>
        <v>5912.2540629999994</v>
      </c>
      <c r="AI32" s="33">
        <f t="shared" si="109"/>
        <v>6013.063697999999</v>
      </c>
      <c r="AJ32" s="33">
        <f t="shared" si="109"/>
        <v>5702.9249500000005</v>
      </c>
      <c r="AK32" s="33">
        <f t="shared" ref="AK32" si="110">AK115</f>
        <v>5858.8488790000001</v>
      </c>
      <c r="AL32" s="33">
        <f t="shared" ref="AL32" si="111">AL115</f>
        <v>6456.7369010000002</v>
      </c>
    </row>
    <row r="33" spans="1:38" hidden="1" outlineLevel="2">
      <c r="A33" s="40" t="s">
        <v>110</v>
      </c>
      <c r="B33" s="12"/>
      <c r="C33" s="51">
        <f t="shared" ref="C33:M33" si="112">IFERROR(-C54-C62+C86+C87+C88+C98+C99,"n.a.")</f>
        <v>1714.3870000000002</v>
      </c>
      <c r="D33" s="51">
        <f t="shared" si="112"/>
        <v>1694.7199999999998</v>
      </c>
      <c r="E33" s="51">
        <f t="shared" si="112"/>
        <v>1591.268</v>
      </c>
      <c r="F33" s="51">
        <f t="shared" si="112"/>
        <v>1552.076</v>
      </c>
      <c r="G33" s="51">
        <f t="shared" si="112"/>
        <v>1541.672</v>
      </c>
      <c r="H33" s="51">
        <f t="shared" si="112"/>
        <v>1503.7540000000001</v>
      </c>
      <c r="I33" s="51">
        <f t="shared" si="112"/>
        <v>1427.0920000000001</v>
      </c>
      <c r="J33" s="51">
        <f t="shared" si="112"/>
        <v>1409.4770000000001</v>
      </c>
      <c r="K33" s="51">
        <f t="shared" si="112"/>
        <v>1423.1880000000001</v>
      </c>
      <c r="L33" s="51">
        <f t="shared" si="112"/>
        <v>1391.0779999999997</v>
      </c>
      <c r="M33" s="51">
        <f t="shared" si="112"/>
        <v>1378.598</v>
      </c>
      <c r="N33" s="51">
        <f t="shared" ref="N33:S33" si="113">IFERROR(-N54-N62+N86+N87+N88+N98+N99,"n.a.")</f>
        <v>1348.6759999999999</v>
      </c>
      <c r="O33" s="51">
        <f t="shared" si="113"/>
        <v>1322.066</v>
      </c>
      <c r="P33" s="51">
        <f t="shared" si="113"/>
        <v>1274.8510000000001</v>
      </c>
      <c r="Q33" s="51">
        <f t="shared" si="113"/>
        <v>1268.6569999999999</v>
      </c>
      <c r="R33" s="51">
        <f t="shared" si="113"/>
        <v>1187.2829999999999</v>
      </c>
      <c r="S33" s="51">
        <f t="shared" si="113"/>
        <v>1154.5259999999998</v>
      </c>
      <c r="T33" s="51">
        <f>IFERROR(-T54-T62+T86+T87+T88+T98+T99,"n.a.")</f>
        <v>1030.713</v>
      </c>
      <c r="U33" s="51">
        <f>IFERROR(-U54-U62+U86+U87+U88+U98+U99,"n.a.")</f>
        <v>1036.3589999999999</v>
      </c>
      <c r="V33" s="51">
        <f>IFERROR(-V54-V62+V86+V87+V88+V98+V99,"n.a.")</f>
        <v>1088.4060000000002</v>
      </c>
      <c r="W33" s="51">
        <f>IFERROR(-W54-W62+W86+W87+W88+W98+W99,"n.a.")</f>
        <v>1081.0219999999997</v>
      </c>
      <c r="X33" s="51">
        <f>IFERROR(-X54-X62+X86+X87+X88+X98+X99,"n.a.")</f>
        <v>1046.0410119999999</v>
      </c>
      <c r="Y33" s="51">
        <f>IFERROR(-Y54-Y62+Y86+Y87+Y88+Y98+Y99+0.1,"n.a.")</f>
        <v>1047.6749999999997</v>
      </c>
      <c r="Z33" s="51">
        <f>IFERROR(-Z54-Z62+Z86+Z87+Z88+Z98+Z99,"n.a.")</f>
        <v>1067.8826750000001</v>
      </c>
      <c r="AA33" s="51">
        <f>IFERROR(-AA54-AA62+AA86+AA87+AA88+AA98+AA99,"n.a.")</f>
        <v>1053.9760000000001</v>
      </c>
      <c r="AB33" s="51">
        <f>IFERROR(-AB54-AB62+AB86+AB87+AB88+AB98+AB99,"n.a.")</f>
        <v>1085.5940000000001</v>
      </c>
      <c r="AC33" s="51">
        <f>IFERROR(-AC54-AC62+AC86+AC87+AC88+AC98+AC99+0.1,"n.a.")</f>
        <v>1077.2624369999999</v>
      </c>
      <c r="AD33" s="51">
        <f>IFERROR(-AD54-AD62+AD86+AD87+AD88+AD98+AD99,"n.a.")</f>
        <v>998.03605099999993</v>
      </c>
      <c r="AE33" s="51">
        <f>IFERROR(-AE54-AE62+AE86+AE87+AE88+AE98+AE99,"n.a.")</f>
        <v>1005.414045</v>
      </c>
      <c r="AF33" s="51">
        <f>IFERROR(-AF54-AF62+AF86+AF87+AF88+AF98+AF99,"n.a.")-0.045</f>
        <v>1027.2144829999997</v>
      </c>
      <c r="AG33" s="51">
        <f>IFERROR(-AG54-AG62+AG86+AG87+AG88+AG98+AG99,"n.a.")</f>
        <v>1029.968247</v>
      </c>
      <c r="AH33" s="51">
        <f>IFERROR(-AH54-AH62+AH86+AH87+AH88+AH98+AH99,"n.a.")</f>
        <v>984.75417600000003</v>
      </c>
      <c r="AI33" s="51">
        <f>IFERROR(-AI54-AI62+AI86+AI87+AI88+AI98+AI99,"n.a.")</f>
        <v>977.164851</v>
      </c>
      <c r="AJ33" s="51">
        <f>IFERROR(-AJ54-AJ62+AJ86+AJ87+AJ88+AJ98+AJ99,"n.a.")-0.045</f>
        <v>969.00083899999993</v>
      </c>
      <c r="AK33" s="51">
        <f>IFERROR(-AK54-AK62+AK86+AK87+AK88+AK98+AK99,"n.a.")</f>
        <v>970.08479699999987</v>
      </c>
      <c r="AL33" s="51">
        <f>IFERROR(-AL54-AL62+AL86+AL87+AL88+AL98+AL99,"n.a.")</f>
        <v>964.51398899999992</v>
      </c>
    </row>
    <row r="34" spans="1:38" hidden="1" outlineLevel="2">
      <c r="A34" s="40" t="s">
        <v>107</v>
      </c>
      <c r="B34" s="12"/>
      <c r="C34" s="44">
        <v>0</v>
      </c>
      <c r="D34" s="44">
        <v>0</v>
      </c>
      <c r="E34" s="44">
        <v>0</v>
      </c>
      <c r="F34" s="48">
        <f>'Balance Sheet - FY'!C34</f>
        <v>0</v>
      </c>
      <c r="G34" s="44">
        <v>0</v>
      </c>
      <c r="H34" s="44">
        <v>0</v>
      </c>
      <c r="I34" s="44">
        <v>0</v>
      </c>
      <c r="J34" s="48">
        <f>'Balance Sheet - FY'!D34</f>
        <v>0</v>
      </c>
      <c r="K34" s="44">
        <f>'Balance Sheet - FY'!H34</f>
        <v>0</v>
      </c>
      <c r="L34" s="44">
        <v>0</v>
      </c>
      <c r="M34" s="44">
        <v>0</v>
      </c>
      <c r="N34" s="48">
        <f>'Balance Sheet - FY'!E34</f>
        <v>0</v>
      </c>
      <c r="O34" s="44">
        <f>'Balance Sheet - FY'!L34</f>
        <v>0</v>
      </c>
      <c r="P34" s="44">
        <f>'Balance Sheet - FY'!M34</f>
        <v>0</v>
      </c>
      <c r="Q34" s="44">
        <f>'Balance Sheet - FY'!N34</f>
        <v>0</v>
      </c>
      <c r="R34" s="48">
        <f>'Balance Sheet - FY'!F34</f>
        <v>0</v>
      </c>
      <c r="S34" s="44">
        <f>'Balance Sheet - FY'!P34</f>
        <v>0</v>
      </c>
      <c r="T34" s="44">
        <f>'Balance Sheet - FY'!Q34</f>
        <v>0</v>
      </c>
      <c r="U34" s="44">
        <f>'Balance Sheet - FY'!R34</f>
        <v>0</v>
      </c>
      <c r="V34" s="48">
        <f>'Balance Sheet - FY'!G34</f>
        <v>0</v>
      </c>
      <c r="W34" s="44">
        <f>'Balance Sheet - FY'!T34</f>
        <v>0</v>
      </c>
      <c r="X34" s="44">
        <f>'Balance Sheet - FY'!U34</f>
        <v>0</v>
      </c>
      <c r="Y34" s="44">
        <f>'Balance Sheet - FY'!V34</f>
        <v>0</v>
      </c>
      <c r="Z34" s="48">
        <f>'Balance Sheet - FY'!H34</f>
        <v>0</v>
      </c>
      <c r="AA34" s="44">
        <v>0</v>
      </c>
      <c r="AB34" s="44">
        <v>0</v>
      </c>
      <c r="AC34" s="44">
        <v>0</v>
      </c>
      <c r="AD34" s="48">
        <v>0</v>
      </c>
      <c r="AE34" s="44">
        <v>0</v>
      </c>
      <c r="AF34" s="44">
        <v>0</v>
      </c>
      <c r="AG34" s="44">
        <v>0</v>
      </c>
      <c r="AH34" s="44">
        <v>0</v>
      </c>
      <c r="AI34" s="44">
        <v>0</v>
      </c>
      <c r="AJ34" s="44">
        <v>0</v>
      </c>
      <c r="AK34" s="213">
        <v>0</v>
      </c>
      <c r="AL34" s="213">
        <v>0</v>
      </c>
    </row>
    <row r="35" spans="1:38" collapsed="1">
      <c r="A35" s="16" t="s">
        <v>44</v>
      </c>
      <c r="B35" s="12"/>
      <c r="C35" s="51">
        <f t="shared" ref="C35:J35" si="114">IFERROR(C33+C34,"n.a.")</f>
        <v>1714.3870000000002</v>
      </c>
      <c r="D35" s="51">
        <f t="shared" si="114"/>
        <v>1694.7199999999998</v>
      </c>
      <c r="E35" s="51">
        <f t="shared" si="114"/>
        <v>1591.268</v>
      </c>
      <c r="F35" s="51">
        <f t="shared" si="114"/>
        <v>1552.076</v>
      </c>
      <c r="G35" s="51">
        <f t="shared" si="114"/>
        <v>1541.672</v>
      </c>
      <c r="H35" s="51">
        <f t="shared" si="114"/>
        <v>1503.7540000000001</v>
      </c>
      <c r="I35" s="51">
        <f t="shared" si="114"/>
        <v>1427.0920000000001</v>
      </c>
      <c r="J35" s="51">
        <f t="shared" si="114"/>
        <v>1409.4770000000001</v>
      </c>
      <c r="K35" s="51">
        <f t="shared" ref="K35:AC35" si="115">IFERROR(K33+K34,"n.a.")</f>
        <v>1423.1880000000001</v>
      </c>
      <c r="L35" s="51">
        <f t="shared" si="115"/>
        <v>1391.0779999999997</v>
      </c>
      <c r="M35" s="51">
        <f t="shared" si="115"/>
        <v>1378.598</v>
      </c>
      <c r="N35" s="51">
        <f t="shared" si="115"/>
        <v>1348.6759999999999</v>
      </c>
      <c r="O35" s="51">
        <f t="shared" si="115"/>
        <v>1322.066</v>
      </c>
      <c r="P35" s="51">
        <f t="shared" si="115"/>
        <v>1274.8510000000001</v>
      </c>
      <c r="Q35" s="51">
        <f t="shared" si="115"/>
        <v>1268.6569999999999</v>
      </c>
      <c r="R35" s="51">
        <f t="shared" si="115"/>
        <v>1187.2829999999999</v>
      </c>
      <c r="S35" s="51">
        <f t="shared" si="115"/>
        <v>1154.5259999999998</v>
      </c>
      <c r="T35" s="51">
        <f t="shared" si="115"/>
        <v>1030.713</v>
      </c>
      <c r="U35" s="51">
        <f t="shared" si="115"/>
        <v>1036.3589999999999</v>
      </c>
      <c r="V35" s="51">
        <f t="shared" si="115"/>
        <v>1088.4060000000002</v>
      </c>
      <c r="W35" s="51">
        <f t="shared" si="115"/>
        <v>1081.0219999999997</v>
      </c>
      <c r="X35" s="51">
        <f t="shared" si="115"/>
        <v>1046.0410119999999</v>
      </c>
      <c r="Y35" s="51">
        <f t="shared" si="115"/>
        <v>1047.6749999999997</v>
      </c>
      <c r="Z35" s="51">
        <f t="shared" si="115"/>
        <v>1067.8826750000001</v>
      </c>
      <c r="AA35" s="51">
        <f t="shared" si="115"/>
        <v>1053.9760000000001</v>
      </c>
      <c r="AB35" s="51">
        <f t="shared" si="115"/>
        <v>1085.5940000000001</v>
      </c>
      <c r="AC35" s="51">
        <f t="shared" si="115"/>
        <v>1077.2624369999999</v>
      </c>
      <c r="AD35" s="51">
        <f t="shared" ref="AD35:AG35" si="116">IFERROR(AD33+AD34,"n.a.")</f>
        <v>998.03605099999993</v>
      </c>
      <c r="AE35" s="51">
        <f t="shared" si="116"/>
        <v>1005.414045</v>
      </c>
      <c r="AF35" s="51">
        <f t="shared" si="116"/>
        <v>1027.2144829999997</v>
      </c>
      <c r="AG35" s="51">
        <f t="shared" si="116"/>
        <v>1029.968247</v>
      </c>
      <c r="AH35" s="51">
        <f t="shared" ref="AH35:AJ35" si="117">IFERROR(AH33+AH34,"n.a.")</f>
        <v>984.75417600000003</v>
      </c>
      <c r="AI35" s="51">
        <f t="shared" si="117"/>
        <v>977.164851</v>
      </c>
      <c r="AJ35" s="51">
        <f t="shared" si="117"/>
        <v>969.00083899999993</v>
      </c>
      <c r="AK35" s="51">
        <f>IFERROR(AK33+AK34,"n.a.")+0.1</f>
        <v>970.18479699999989</v>
      </c>
      <c r="AL35" s="51">
        <f>IFERROR(AL33+AL34,"n.a.")+0.1</f>
        <v>964.61398899999995</v>
      </c>
    </row>
    <row r="36" spans="1:38" hidden="1" outlineLevel="2">
      <c r="A36" s="16" t="s">
        <v>205</v>
      </c>
      <c r="B36" s="12"/>
      <c r="C36" s="51">
        <f t="shared" ref="C36:J36" si="118">IFERROR(C40-C37,C40)</f>
        <v>5525.2430000000004</v>
      </c>
      <c r="D36" s="51">
        <f t="shared" si="118"/>
        <v>4176.4740000000011</v>
      </c>
      <c r="E36" s="51">
        <f t="shared" si="118"/>
        <v>4287.67</v>
      </c>
      <c r="F36" s="51">
        <f t="shared" si="118"/>
        <v>3218.4949999999994</v>
      </c>
      <c r="G36" s="51">
        <f t="shared" si="118"/>
        <v>3938.8859999999995</v>
      </c>
      <c r="H36" s="51">
        <f t="shared" si="118"/>
        <v>3916.4589999999985</v>
      </c>
      <c r="I36" s="51">
        <f t="shared" si="118"/>
        <v>4038.2950000000005</v>
      </c>
      <c r="J36" s="51">
        <f t="shared" si="118"/>
        <v>3180.1300000000006</v>
      </c>
      <c r="K36" s="51">
        <f>IFERROR(K40-K37,K40)</f>
        <v>3913.0119999999993</v>
      </c>
      <c r="L36" s="51">
        <f>IFERROR(L40-L37,L40)+0.1</f>
        <v>4022.0800000000004</v>
      </c>
      <c r="M36" s="51">
        <f>IFERROR(M40-M37,M40)</f>
        <v>4002.3000000000006</v>
      </c>
      <c r="N36" s="51">
        <f>IFERROR(N40-N37,N40)</f>
        <v>3024.0529999999999</v>
      </c>
      <c r="O36" s="51">
        <f>IFERROR(O40-O37,O40)</f>
        <v>3787.2589999999996</v>
      </c>
      <c r="P36" s="51">
        <f>IFERROR(P40-P37,P40)</f>
        <v>3782.3160000000003</v>
      </c>
      <c r="Q36" s="51">
        <f>IFERROR(Q40-Q37,"n.a.")</f>
        <v>3780.3689999999997</v>
      </c>
      <c r="R36" s="51">
        <f>IFERROR(R40-R37,"n.a.")</f>
        <v>2792.5219999999999</v>
      </c>
      <c r="S36" s="51">
        <f>IFERROR(S40-S37,S40)</f>
        <v>3439.8899999999994</v>
      </c>
      <c r="T36" s="51">
        <f>IFERROR(T40-T37,T40)</f>
        <v>3341.913</v>
      </c>
      <c r="U36" s="51">
        <f>IFERROR(U40-U37,"n.a.")</f>
        <v>3255.6120000000001</v>
      </c>
      <c r="V36" s="51">
        <f>IFERROR(V40-V37,"n.a.")</f>
        <v>2402.7089999999994</v>
      </c>
      <c r="W36" s="51">
        <f>IFERROR(W40-W37,W40)</f>
        <v>3085.1369999999997</v>
      </c>
      <c r="X36" s="51">
        <f>IFERROR(X40-X37,X40)</f>
        <v>3027.741</v>
      </c>
      <c r="Y36" s="51">
        <f>IFERROR(Y40-Y37,"n.a.")</f>
        <v>2899.1800000000012</v>
      </c>
      <c r="Z36" s="51">
        <f>IFERROR(Z40-Z37,"n.a.")</f>
        <v>2067.1493339999997</v>
      </c>
      <c r="AA36" s="51">
        <f>IFERROR(AA40-AA37,AA40)</f>
        <v>2771.2370000000001</v>
      </c>
      <c r="AB36" s="51">
        <f>IFERROR(AB40-AB37,AB40)</f>
        <v>2611.2840000000001</v>
      </c>
      <c r="AC36" s="51">
        <f>IFERROR(AC40-AC37,"n.a.")</f>
        <v>2658.8576570000005</v>
      </c>
      <c r="AD36" s="51">
        <f>IFERROR(AD40-AD37,"n.a.")</f>
        <v>1779.2424935338663</v>
      </c>
      <c r="AE36" s="51">
        <f>IFERROR(AE40-AE37,AE40)</f>
        <v>2465.2142829999998</v>
      </c>
      <c r="AF36" s="51">
        <f>IFERROR(AF40-AF37,AF40)</f>
        <v>2509.8150489999998</v>
      </c>
      <c r="AG36" s="51">
        <f>IFERROR(AG40-AG37,"n.a.")</f>
        <v>2333.258225</v>
      </c>
      <c r="AH36" s="51">
        <f>IFERROR(AH40-AH37,"n.a.")</f>
        <v>1440.135818035458</v>
      </c>
      <c r="AI36" s="51">
        <f>IFERROR(AI40-AI37,AI40)</f>
        <v>2138.9086009999996</v>
      </c>
      <c r="AJ36" s="51">
        <f>IFERROR(AJ40-AJ37,AJ40)</f>
        <v>2207.9564070000001</v>
      </c>
      <c r="AK36" s="51">
        <f>IFERROR(AK40-AK37,AK40)</f>
        <v>2068.295032</v>
      </c>
      <c r="AL36" s="51">
        <f>IFERROR(AL40-AL37,AL40)</f>
        <v>643.61317600000007</v>
      </c>
    </row>
    <row r="37" spans="1:38" hidden="1" outlineLevel="2">
      <c r="A37" s="16" t="s">
        <v>273</v>
      </c>
      <c r="B37" s="12"/>
      <c r="C37" s="44" t="s">
        <v>164</v>
      </c>
      <c r="D37" s="44" t="s">
        <v>164</v>
      </c>
      <c r="E37" s="44" t="s">
        <v>164</v>
      </c>
      <c r="F37" s="48" t="str">
        <f>'Balance Sheet - FY'!C37</f>
        <v>n.a.</v>
      </c>
      <c r="G37" s="44" t="s">
        <v>164</v>
      </c>
      <c r="H37" s="44" t="s">
        <v>164</v>
      </c>
      <c r="I37" s="44" t="s">
        <v>164</v>
      </c>
      <c r="J37" s="48" t="str">
        <f>'Balance Sheet - FY'!D37</f>
        <v>n.a.</v>
      </c>
      <c r="K37" s="44">
        <v>474.32799999999997</v>
      </c>
      <c r="L37" s="44">
        <v>469.8</v>
      </c>
      <c r="M37" s="44">
        <v>477.85500000000002</v>
      </c>
      <c r="N37" s="48">
        <f>'Balance Sheet - FY'!E37</f>
        <v>483.17200000000003</v>
      </c>
      <c r="O37" s="44">
        <v>473.47500000000002</v>
      </c>
      <c r="P37" s="44">
        <v>482.36399999999998</v>
      </c>
      <c r="Q37" s="44">
        <v>472.11200000000002</v>
      </c>
      <c r="R37" s="48">
        <f>'Balance Sheet - FY'!F37</f>
        <v>465.85300000000001</v>
      </c>
      <c r="S37" s="44">
        <v>472.03899999999999</v>
      </c>
      <c r="T37" s="44">
        <v>476.76299999999998</v>
      </c>
      <c r="U37" s="44">
        <v>459.28699999999998</v>
      </c>
      <c r="V37" s="48">
        <f>'Balance Sheet - FY'!G37</f>
        <v>504.40699999999998</v>
      </c>
      <c r="W37" s="44">
        <v>494.86700000000002</v>
      </c>
      <c r="X37" s="44">
        <v>503</v>
      </c>
      <c r="Y37" s="44">
        <v>490.9</v>
      </c>
      <c r="Z37" s="48">
        <f>'Balance Sheet - FY'!H37</f>
        <v>485.48500000000001</v>
      </c>
      <c r="AA37" s="44">
        <v>472.721</v>
      </c>
      <c r="AB37" s="44">
        <v>476.2</v>
      </c>
      <c r="AC37" s="44">
        <f>92.8+386.4</f>
        <v>479.2</v>
      </c>
      <c r="AD37" s="48">
        <f>+'Balance Sheet - FY'!I37</f>
        <v>482.48507246613332</v>
      </c>
      <c r="AE37" s="44">
        <f>98.6+371.3</f>
        <v>469.9</v>
      </c>
      <c r="AF37" s="44">
        <v>468.2</v>
      </c>
      <c r="AG37" s="44">
        <f>101.3+381.6</f>
        <v>482.90000000000003</v>
      </c>
      <c r="AH37" s="24">
        <v>485.62672396454201</v>
      </c>
      <c r="AI37" s="44">
        <v>483.6</v>
      </c>
      <c r="AJ37" s="44">
        <v>470.7</v>
      </c>
      <c r="AK37" s="44">
        <v>469.6</v>
      </c>
      <c r="AL37" s="24">
        <v>458.3</v>
      </c>
    </row>
    <row r="38" spans="1:38" hidden="1" outlineLevel="2">
      <c r="A38" s="40" t="s">
        <v>109</v>
      </c>
      <c r="B38" s="12"/>
      <c r="C38" s="51">
        <f t="shared" ref="C38:P38" si="119">IFERROR(C84+C90+C94+C101-C55-C59-C66-C71-C73-C69-C70,"n.a.")</f>
        <v>5525.2430000000004</v>
      </c>
      <c r="D38" s="51">
        <f t="shared" si="119"/>
        <v>4176.4740000000011</v>
      </c>
      <c r="E38" s="51">
        <f t="shared" si="119"/>
        <v>4287.67</v>
      </c>
      <c r="F38" s="51">
        <f t="shared" si="119"/>
        <v>3218.4949999999994</v>
      </c>
      <c r="G38" s="51">
        <f t="shared" si="119"/>
        <v>3938.8859999999995</v>
      </c>
      <c r="H38" s="51">
        <f t="shared" si="119"/>
        <v>3916.4589999999985</v>
      </c>
      <c r="I38" s="51">
        <f t="shared" si="119"/>
        <v>4038.2950000000005</v>
      </c>
      <c r="J38" s="51">
        <f t="shared" si="119"/>
        <v>3180.1300000000006</v>
      </c>
      <c r="K38" s="51">
        <f t="shared" si="119"/>
        <v>4387.3399999999992</v>
      </c>
      <c r="L38" s="51">
        <f t="shared" si="119"/>
        <v>4491.68</v>
      </c>
      <c r="M38" s="51">
        <f t="shared" si="119"/>
        <v>4480.1550000000007</v>
      </c>
      <c r="N38" s="51">
        <f t="shared" si="119"/>
        <v>3507.2249999999999</v>
      </c>
      <c r="O38" s="51">
        <f t="shared" si="119"/>
        <v>4260.7339999999995</v>
      </c>
      <c r="P38" s="51">
        <f t="shared" si="119"/>
        <v>4264.68</v>
      </c>
      <c r="Q38" s="51">
        <f t="shared" ref="Q38:X38" si="120">IFERROR(Q84+Q90+Q94+Q101-Q55-Q59-Q66-Q71-Q73-Q69-Q70,"n.a.")</f>
        <v>4252.4809999999998</v>
      </c>
      <c r="R38" s="51">
        <f t="shared" si="120"/>
        <v>3258.375</v>
      </c>
      <c r="S38" s="51">
        <f t="shared" si="120"/>
        <v>3911.9289999999996</v>
      </c>
      <c r="T38" s="51">
        <f t="shared" si="120"/>
        <v>3818.6759999999999</v>
      </c>
      <c r="U38" s="51">
        <f t="shared" si="120"/>
        <v>3714.8989999999999</v>
      </c>
      <c r="V38" s="51">
        <f t="shared" si="120"/>
        <v>2907.1159999999995</v>
      </c>
      <c r="W38" s="51">
        <f t="shared" si="120"/>
        <v>3580.0039999999999</v>
      </c>
      <c r="X38" s="51">
        <f t="shared" si="120"/>
        <v>3530.741</v>
      </c>
      <c r="Y38" s="51">
        <f>IFERROR(Y84+Y90+Y94+Y101-Y55-Y59-Y66-Y71-Y73-Y69-Y70-0.4,"n.a.")</f>
        <v>3390.0800000000013</v>
      </c>
      <c r="Z38" s="51">
        <f>IFERROR(Z84+Z90+Z94+Z101-Z55-Z59-Z66-Z71-Z73-Z69-Z70,"n.a.")</f>
        <v>2552.6343339999999</v>
      </c>
      <c r="AA38" s="51">
        <f>IFERROR(AA84+AA90+AA94+AA101-AA55-AA59-AA66-AA71-AA73-AA69-AA70,"n.a.")-0.1</f>
        <v>3243.9580000000001</v>
      </c>
      <c r="AB38" s="51">
        <f>IFERROR(AB84+AB90+AB94+AB101-AB55-AB59-AB66-AB71-AB73-AB69-AB70,"n.a.")</f>
        <v>3087.4839999999999</v>
      </c>
      <c r="AC38" s="51">
        <f>IFERROR(AC84+AC90+AC94+AC101-AC55-AC59-AC66-AC71-AC73-AC69-AC70-0.1,"n.a.")</f>
        <v>3138.0576570000003</v>
      </c>
      <c r="AD38" s="51">
        <f t="shared" ref="AD38:AI38" si="121">IFERROR(AD84+AD90+AD94+AD101-AD55-AD59-AD66-AD71-AD73-AD69-AD70,"n.a.")</f>
        <v>2261.7275659999996</v>
      </c>
      <c r="AE38" s="51">
        <f t="shared" si="121"/>
        <v>2935.1142829999999</v>
      </c>
      <c r="AF38" s="51">
        <f t="shared" si="121"/>
        <v>2978.0150489999996</v>
      </c>
      <c r="AG38" s="51">
        <f t="shared" si="121"/>
        <v>2816.1582250000001</v>
      </c>
      <c r="AH38" s="51">
        <f t="shared" si="121"/>
        <v>1925.7625419999999</v>
      </c>
      <c r="AI38" s="51">
        <f t="shared" si="121"/>
        <v>2622.5086009999995</v>
      </c>
      <c r="AJ38" s="51">
        <f t="shared" ref="AJ38" si="122">IFERROR(AJ84+AJ90+AJ94+AJ101-AJ55-AJ59-AJ66-AJ71-AJ73-AJ69-AJ70,"n.a.")</f>
        <v>2678.6564069999999</v>
      </c>
      <c r="AK38" s="51">
        <f>IFERROR(AK84+AK90+AK94+AK101-AK55-AK59-AK66-AK71-AK73-AK69-AK70,"n.a.")-0.1</f>
        <v>2537.8950319999999</v>
      </c>
      <c r="AL38" s="51">
        <f>IFERROR(AL84+AL90+AL94+AL101-AL55-AL59-AL66-AL71-AL73-AL69-AL70,"n.a.")-0.1</f>
        <v>1101.913176</v>
      </c>
    </row>
    <row r="39" spans="1:38" hidden="1" outlineLevel="2">
      <c r="A39" s="40" t="s">
        <v>108</v>
      </c>
      <c r="B39" s="12"/>
      <c r="C39" s="44">
        <v>0</v>
      </c>
      <c r="D39" s="44">
        <v>0</v>
      </c>
      <c r="E39" s="44">
        <v>0</v>
      </c>
      <c r="F39" s="48">
        <f>'Balance Sheet - FY'!C39</f>
        <v>0</v>
      </c>
      <c r="G39" s="44">
        <v>0</v>
      </c>
      <c r="H39" s="44">
        <v>0</v>
      </c>
      <c r="I39" s="44">
        <v>0</v>
      </c>
      <c r="J39" s="48">
        <f>'Balance Sheet - FY'!D39</f>
        <v>0</v>
      </c>
      <c r="K39" s="44">
        <f>'Balance Sheet - FY'!H39</f>
        <v>0</v>
      </c>
      <c r="L39" s="44">
        <v>0</v>
      </c>
      <c r="M39" s="44">
        <v>0</v>
      </c>
      <c r="N39" s="48">
        <f>'Balance Sheet - FY'!E39</f>
        <v>0</v>
      </c>
      <c r="O39" s="44">
        <f>'Balance Sheet - FY'!L39</f>
        <v>0</v>
      </c>
      <c r="P39" s="44">
        <f>'Balance Sheet - FY'!M39</f>
        <v>0</v>
      </c>
      <c r="Q39" s="44">
        <f>'Balance Sheet - FY'!N39</f>
        <v>0</v>
      </c>
      <c r="R39" s="48">
        <f>'Balance Sheet - FY'!F39</f>
        <v>0</v>
      </c>
      <c r="S39" s="44">
        <f>'Balance Sheet - FY'!P39</f>
        <v>0</v>
      </c>
      <c r="T39" s="44">
        <f>'Balance Sheet - FY'!Q39</f>
        <v>0</v>
      </c>
      <c r="U39" s="44">
        <f>'Balance Sheet - FY'!R39</f>
        <v>0</v>
      </c>
      <c r="V39" s="48">
        <f>'Balance Sheet - FY'!G39</f>
        <v>0</v>
      </c>
      <c r="W39" s="44">
        <f>'Balance Sheet - FY'!T39</f>
        <v>0</v>
      </c>
      <c r="X39" s="44">
        <f>'Balance Sheet - FY'!U39</f>
        <v>0</v>
      </c>
      <c r="Y39" s="44">
        <f>'Balance Sheet - FY'!V39</f>
        <v>0</v>
      </c>
      <c r="Z39" s="48">
        <f>'Balance Sheet - FY'!H39</f>
        <v>0</v>
      </c>
      <c r="AA39" s="44">
        <f>'Balance Sheet - FY'!X39</f>
        <v>0</v>
      </c>
      <c r="AB39" s="44">
        <f>'Balance Sheet - FY'!Y39</f>
        <v>0</v>
      </c>
      <c r="AC39" s="44">
        <v>0</v>
      </c>
      <c r="AD39" s="48">
        <f>+'Balance Sheet - FY'!I39</f>
        <v>0</v>
      </c>
      <c r="AE39" s="44">
        <f>'Balance Sheet - FY'!AB39</f>
        <v>0</v>
      </c>
      <c r="AF39" s="44">
        <f>'Balance Sheet - FY'!AC39</f>
        <v>0</v>
      </c>
      <c r="AG39" s="44">
        <v>0</v>
      </c>
      <c r="AH39" s="48">
        <f>+'Balance Sheet - FY'!J39</f>
        <v>0</v>
      </c>
      <c r="AI39" s="44">
        <f>'Balance Sheet - FY'!AF39</f>
        <v>0</v>
      </c>
      <c r="AJ39" s="44">
        <f>'Balance Sheet - FY'!AG39</f>
        <v>0</v>
      </c>
      <c r="AK39" s="44">
        <f>'Balance Sheet - FY'!AH39</f>
        <v>0</v>
      </c>
      <c r="AL39" s="48">
        <f>'Balance Sheet - FY'!AI39</f>
        <v>0</v>
      </c>
    </row>
    <row r="40" spans="1:38" collapsed="1">
      <c r="A40" s="16" t="s">
        <v>206</v>
      </c>
      <c r="B40" s="12"/>
      <c r="C40" s="51">
        <f t="shared" ref="C40:K40" si="123">IFERROR(C38+C39,"n.a.")</f>
        <v>5525.2430000000004</v>
      </c>
      <c r="D40" s="51">
        <f t="shared" si="123"/>
        <v>4176.4740000000011</v>
      </c>
      <c r="E40" s="51">
        <f t="shared" si="123"/>
        <v>4287.67</v>
      </c>
      <c r="F40" s="51">
        <f t="shared" si="123"/>
        <v>3218.4949999999994</v>
      </c>
      <c r="G40" s="51">
        <f t="shared" si="123"/>
        <v>3938.8859999999995</v>
      </c>
      <c r="H40" s="51">
        <f t="shared" si="123"/>
        <v>3916.4589999999985</v>
      </c>
      <c r="I40" s="51">
        <f t="shared" si="123"/>
        <v>4038.2950000000005</v>
      </c>
      <c r="J40" s="51">
        <f t="shared" si="123"/>
        <v>3180.1300000000006</v>
      </c>
      <c r="K40" s="51">
        <f t="shared" si="123"/>
        <v>4387.3399999999992</v>
      </c>
      <c r="L40" s="51">
        <f>IFERROR(L38+L39,"n.a.")+0.1</f>
        <v>4491.7800000000007</v>
      </c>
      <c r="M40" s="51">
        <f>IFERROR(M38+M39,"n.a.")</f>
        <v>4480.1550000000007</v>
      </c>
      <c r="N40" s="51">
        <f>IFERROR(N38+N39,"n.a.")</f>
        <v>3507.2249999999999</v>
      </c>
      <c r="O40" s="51">
        <f>IFERROR(O38+O39,"n.a.")</f>
        <v>4260.7339999999995</v>
      </c>
      <c r="P40" s="51">
        <f>IFERROR(P38+P39,"n.a.")</f>
        <v>4264.68</v>
      </c>
      <c r="Q40" s="51">
        <f>IFERROR(Q38+Q39,"n.a.")</f>
        <v>4252.4809999999998</v>
      </c>
      <c r="R40" s="48">
        <f>'Balance Sheet - FY'!F40</f>
        <v>3258.375</v>
      </c>
      <c r="S40" s="51">
        <f t="shared" ref="S40:AC40" si="124">IFERROR(S38+S39,"n.a.")</f>
        <v>3911.9289999999996</v>
      </c>
      <c r="T40" s="51">
        <f t="shared" si="124"/>
        <v>3818.6759999999999</v>
      </c>
      <c r="U40" s="51">
        <f t="shared" si="124"/>
        <v>3714.8989999999999</v>
      </c>
      <c r="V40" s="51">
        <f t="shared" si="124"/>
        <v>2907.1159999999995</v>
      </c>
      <c r="W40" s="51">
        <f t="shared" si="124"/>
        <v>3580.0039999999999</v>
      </c>
      <c r="X40" s="51">
        <f t="shared" si="124"/>
        <v>3530.741</v>
      </c>
      <c r="Y40" s="51">
        <f t="shared" si="124"/>
        <v>3390.0800000000013</v>
      </c>
      <c r="Z40" s="51">
        <f t="shared" si="124"/>
        <v>2552.6343339999999</v>
      </c>
      <c r="AA40" s="51">
        <f t="shared" si="124"/>
        <v>3243.9580000000001</v>
      </c>
      <c r="AB40" s="51">
        <f t="shared" si="124"/>
        <v>3087.4839999999999</v>
      </c>
      <c r="AC40" s="51">
        <f t="shared" si="124"/>
        <v>3138.0576570000003</v>
      </c>
      <c r="AD40" s="51">
        <f t="shared" ref="AD40:AG40" si="125">IFERROR(AD38+AD39,"n.a.")</f>
        <v>2261.7275659999996</v>
      </c>
      <c r="AE40" s="51">
        <f t="shared" si="125"/>
        <v>2935.1142829999999</v>
      </c>
      <c r="AF40" s="51">
        <f t="shared" si="125"/>
        <v>2978.0150489999996</v>
      </c>
      <c r="AG40" s="51">
        <f t="shared" si="125"/>
        <v>2816.1582250000001</v>
      </c>
      <c r="AH40" s="51">
        <f t="shared" ref="AH40:AJ40" si="126">IFERROR(AH38+AH39,"n.a.")</f>
        <v>1925.7625419999999</v>
      </c>
      <c r="AI40" s="51">
        <f t="shared" si="126"/>
        <v>2622.5086009999995</v>
      </c>
      <c r="AJ40" s="51">
        <f t="shared" si="126"/>
        <v>2678.6564069999999</v>
      </c>
      <c r="AK40" s="51">
        <f t="shared" ref="AK40" si="127">IFERROR(AK38+AK39,"n.a.")</f>
        <v>2537.8950319999999</v>
      </c>
      <c r="AL40" s="51">
        <f t="shared" ref="AL40" si="128">IFERROR(AL38+AL39,"n.a.")</f>
        <v>1101.913176</v>
      </c>
    </row>
    <row r="41" spans="1:38" s="14" customFormat="1" ht="13">
      <c r="A41" s="64" t="s">
        <v>46</v>
      </c>
      <c r="B41" s="64"/>
      <c r="C41" s="65">
        <f t="shared" ref="C41:J41" si="129">IFERROR(C32+C35+C40,"n.a.")</f>
        <v>10242.511</v>
      </c>
      <c r="D41" s="65">
        <f t="shared" si="129"/>
        <v>9928.5010000000002</v>
      </c>
      <c r="E41" s="65">
        <f t="shared" si="129"/>
        <v>10038.505000000001</v>
      </c>
      <c r="F41" s="65">
        <f t="shared" si="129"/>
        <v>8947.58</v>
      </c>
      <c r="G41" s="65">
        <f t="shared" si="129"/>
        <v>9748.1769999999997</v>
      </c>
      <c r="H41" s="65">
        <f t="shared" si="129"/>
        <v>9743.4519999999975</v>
      </c>
      <c r="I41" s="65">
        <f t="shared" si="129"/>
        <v>9930.1869999999999</v>
      </c>
      <c r="J41" s="65">
        <f t="shared" si="129"/>
        <v>9140.5339999999997</v>
      </c>
      <c r="K41" s="65">
        <f>IFERROR(K32+K35+K40,"n.a.")</f>
        <v>10498.435999999998</v>
      </c>
      <c r="L41" s="65">
        <f>IFERROR(L32+L35+L40,"n.a.")-0.1</f>
        <v>10546.472</v>
      </c>
      <c r="M41" s="65">
        <f t="shared" ref="M41:W41" si="130">IFERROR(M32+M35+M40,"n.a.")</f>
        <v>10601.155000000001</v>
      </c>
      <c r="N41" s="65">
        <f t="shared" si="130"/>
        <v>9682.5320000000011</v>
      </c>
      <c r="O41" s="65">
        <f t="shared" si="130"/>
        <v>10173.071</v>
      </c>
      <c r="P41" s="65">
        <f t="shared" si="130"/>
        <v>9943.6750000000011</v>
      </c>
      <c r="Q41" s="65">
        <f t="shared" si="130"/>
        <v>9925.0120000000006</v>
      </c>
      <c r="R41" s="65">
        <f t="shared" si="130"/>
        <v>8997.5079999999998</v>
      </c>
      <c r="S41" s="65">
        <f t="shared" si="130"/>
        <v>9699.2519999999986</v>
      </c>
      <c r="T41" s="65">
        <f t="shared" si="130"/>
        <v>9648.0609999999997</v>
      </c>
      <c r="U41" s="65">
        <f t="shared" si="130"/>
        <v>9662.2049999999999</v>
      </c>
      <c r="V41" s="65">
        <f t="shared" si="130"/>
        <v>9038.1610000000001</v>
      </c>
      <c r="W41" s="65">
        <f t="shared" si="130"/>
        <v>9955.0139999999992</v>
      </c>
      <c r="X41" s="65">
        <f>IFERROR(X32+X35+X40-0.1,"n.a.")</f>
        <v>9996.289014</v>
      </c>
      <c r="Y41" s="65">
        <f>IFERROR(Y32+Y35+Y40,"n.a.")</f>
        <v>10084.385000000002</v>
      </c>
      <c r="Z41" s="65">
        <f>IFERROR(Z32+Z35+Z40,"n.a.")</f>
        <v>9074.3453270000009</v>
      </c>
      <c r="AA41" s="65">
        <f>IFERROR(AA32+AA35+AA40,"n.a.")+0.1</f>
        <v>9879.2410000000018</v>
      </c>
      <c r="AB41" s="65">
        <f t="shared" ref="AB41:AG41" si="131">IFERROR(AB32+AB35+AB40,"n.a.")</f>
        <v>9628.6790000000001</v>
      </c>
      <c r="AC41" s="65">
        <f t="shared" si="131"/>
        <v>9847.2801910000017</v>
      </c>
      <c r="AD41" s="65">
        <f t="shared" si="131"/>
        <v>8879.3575819999987</v>
      </c>
      <c r="AE41" s="65">
        <f t="shared" si="131"/>
        <v>9809.2178260000001</v>
      </c>
      <c r="AF41" s="65">
        <f t="shared" si="131"/>
        <v>9718.5199410000005</v>
      </c>
      <c r="AG41" s="65">
        <f t="shared" si="131"/>
        <v>9555.2719120000002</v>
      </c>
      <c r="AH41" s="65">
        <f t="shared" ref="AH41:AJ41" si="132">IFERROR(AH32+AH35+AH40,"n.a.")</f>
        <v>8822.7707809999993</v>
      </c>
      <c r="AI41" s="65">
        <f t="shared" si="132"/>
        <v>9612.737149999999</v>
      </c>
      <c r="AJ41" s="65">
        <f t="shared" si="132"/>
        <v>9350.5821960000012</v>
      </c>
      <c r="AK41" s="65">
        <f t="shared" ref="AK41" si="133">IFERROR(AK32+AK35+AK40,"n.a.")</f>
        <v>9366.9287079999995</v>
      </c>
      <c r="AL41" s="65">
        <f>IFERROR(AL32+AL35+AL40,"n.a.")</f>
        <v>8523.2640659999997</v>
      </c>
    </row>
    <row r="44" spans="1:38" ht="13.5" thickBot="1">
      <c r="A44" s="9" t="s">
        <v>289</v>
      </c>
      <c r="B44" s="9"/>
      <c r="C44" s="10" t="str">
        <f t="shared" ref="C44:O44" si="134">C4</f>
        <v>1Q 2017</v>
      </c>
      <c r="D44" s="10" t="str">
        <f t="shared" si="134"/>
        <v>1H 2017</v>
      </c>
      <c r="E44" s="10" t="str">
        <f t="shared" si="134"/>
        <v>9M 2017</v>
      </c>
      <c r="F44" s="10" t="str">
        <f t="shared" si="134"/>
        <v>FY 2017</v>
      </c>
      <c r="G44" s="10" t="str">
        <f t="shared" si="134"/>
        <v>1Q 2018</v>
      </c>
      <c r="H44" s="10" t="str">
        <f t="shared" si="134"/>
        <v>1H 2018</v>
      </c>
      <c r="I44" s="10" t="str">
        <f t="shared" si="134"/>
        <v>9M 2018</v>
      </c>
      <c r="J44" s="10" t="str">
        <f t="shared" si="134"/>
        <v>FY 2018</v>
      </c>
      <c r="K44" s="10" t="str">
        <f t="shared" si="134"/>
        <v>1Q 2019</v>
      </c>
      <c r="L44" s="10" t="str">
        <f t="shared" si="134"/>
        <v>1H 2019</v>
      </c>
      <c r="M44" s="10" t="str">
        <f t="shared" si="134"/>
        <v>9M 2019</v>
      </c>
      <c r="N44" s="10" t="str">
        <f t="shared" si="134"/>
        <v>FY 2019</v>
      </c>
      <c r="O44" s="10" t="str">
        <f t="shared" si="134"/>
        <v>1Q 2020</v>
      </c>
      <c r="P44" s="10" t="str">
        <f t="shared" ref="P44:AC44" si="135">P4</f>
        <v>1H 2020</v>
      </c>
      <c r="Q44" s="10" t="str">
        <f t="shared" si="135"/>
        <v>9M 2020</v>
      </c>
      <c r="R44" s="10" t="str">
        <f t="shared" si="135"/>
        <v>FY 2020</v>
      </c>
      <c r="S44" s="10" t="str">
        <f t="shared" si="135"/>
        <v>1Q 2021</v>
      </c>
      <c r="T44" s="10" t="str">
        <f t="shared" si="135"/>
        <v>1H 2021</v>
      </c>
      <c r="U44" s="10" t="str">
        <f t="shared" si="135"/>
        <v>9M 2021</v>
      </c>
      <c r="V44" s="10" t="str">
        <f t="shared" si="135"/>
        <v>FY 2021</v>
      </c>
      <c r="W44" s="10" t="str">
        <f t="shared" si="135"/>
        <v>1Q 2022</v>
      </c>
      <c r="X44" s="10" t="str">
        <f t="shared" si="135"/>
        <v>1H 2022</v>
      </c>
      <c r="Y44" s="10" t="str">
        <f t="shared" si="135"/>
        <v>9M 2022</v>
      </c>
      <c r="Z44" s="10" t="str">
        <f t="shared" si="135"/>
        <v>FY 2022</v>
      </c>
      <c r="AA44" s="10" t="str">
        <f t="shared" si="135"/>
        <v>1Q 2023</v>
      </c>
      <c r="AB44" s="10" t="str">
        <f t="shared" si="135"/>
        <v>1H 2023</v>
      </c>
      <c r="AC44" s="10" t="str">
        <f t="shared" si="135"/>
        <v>9M 2023</v>
      </c>
      <c r="AD44" s="10" t="str">
        <f t="shared" ref="AD44:AG44" si="136">AD4</f>
        <v>FY 2023</v>
      </c>
      <c r="AE44" s="10" t="str">
        <f t="shared" si="136"/>
        <v>1Q 2024</v>
      </c>
      <c r="AF44" s="10" t="str">
        <f t="shared" si="136"/>
        <v>1H 2024</v>
      </c>
      <c r="AG44" s="10" t="str">
        <f t="shared" si="136"/>
        <v>9M 2024</v>
      </c>
      <c r="AH44" s="10" t="str">
        <f t="shared" ref="AH44:AJ44" si="137">AH4</f>
        <v>FY 2024</v>
      </c>
      <c r="AI44" s="10" t="str">
        <f t="shared" si="137"/>
        <v>1Q 2025</v>
      </c>
      <c r="AJ44" s="10" t="str">
        <f t="shared" si="137"/>
        <v>1H 2025</v>
      </c>
      <c r="AK44" s="10" t="str">
        <f t="shared" ref="AK44:AL44" si="138">AK4</f>
        <v>9M 2025</v>
      </c>
      <c r="AL44" s="10" t="str">
        <f t="shared" si="138"/>
        <v>FY 2025</v>
      </c>
    </row>
    <row r="45" spans="1:38">
      <c r="C45" s="20" t="str">
        <f t="shared" ref="C45:O45" si="139">C5</f>
        <v>reported</v>
      </c>
      <c r="D45" s="20" t="str">
        <f t="shared" si="139"/>
        <v>carve-out</v>
      </c>
      <c r="E45" s="20" t="str">
        <f t="shared" si="139"/>
        <v>reported</v>
      </c>
      <c r="F45" s="20" t="str">
        <f t="shared" si="139"/>
        <v>reported</v>
      </c>
      <c r="G45" s="20" t="str">
        <f t="shared" si="139"/>
        <v>reported</v>
      </c>
      <c r="H45" s="20" t="str">
        <f t="shared" si="139"/>
        <v>reported</v>
      </c>
      <c r="I45" s="20" t="str">
        <f t="shared" si="139"/>
        <v>reported</v>
      </c>
      <c r="J45" s="20" t="str">
        <f t="shared" si="139"/>
        <v>reported</v>
      </c>
      <c r="K45" s="20" t="str">
        <f t="shared" si="139"/>
        <v>reported</v>
      </c>
      <c r="L45" s="20" t="str">
        <f t="shared" si="139"/>
        <v>reported</v>
      </c>
      <c r="M45" s="20" t="str">
        <f t="shared" si="139"/>
        <v>reported</v>
      </c>
      <c r="N45" s="20" t="str">
        <f t="shared" si="139"/>
        <v>reported</v>
      </c>
      <c r="O45" s="20" t="str">
        <f t="shared" si="139"/>
        <v>reported</v>
      </c>
      <c r="P45" s="20" t="str">
        <f t="shared" ref="P45:AC45" si="140">P5</f>
        <v>reported</v>
      </c>
      <c r="Q45" s="20" t="str">
        <f t="shared" si="140"/>
        <v>reported</v>
      </c>
      <c r="R45" s="20" t="str">
        <f t="shared" si="140"/>
        <v>reported</v>
      </c>
      <c r="S45" s="20" t="str">
        <f t="shared" si="140"/>
        <v>reported</v>
      </c>
      <c r="T45" s="20" t="str">
        <f t="shared" si="140"/>
        <v>reported</v>
      </c>
      <c r="U45" s="20" t="str">
        <f t="shared" si="140"/>
        <v>reported</v>
      </c>
      <c r="V45" s="20" t="str">
        <f t="shared" si="140"/>
        <v>reported</v>
      </c>
      <c r="W45" s="20" t="str">
        <f t="shared" si="140"/>
        <v>reported</v>
      </c>
      <c r="X45" s="20" t="str">
        <f t="shared" si="140"/>
        <v>reported</v>
      </c>
      <c r="Y45" s="20" t="str">
        <f t="shared" si="140"/>
        <v>reported</v>
      </c>
      <c r="Z45" s="20" t="str">
        <f t="shared" si="140"/>
        <v>reported</v>
      </c>
      <c r="AA45" s="20" t="str">
        <f t="shared" si="140"/>
        <v>reported</v>
      </c>
      <c r="AB45" s="20" t="str">
        <f t="shared" si="140"/>
        <v>reported</v>
      </c>
      <c r="AC45" s="20" t="str">
        <f t="shared" si="140"/>
        <v>reported</v>
      </c>
      <c r="AD45" s="20" t="str">
        <f t="shared" ref="AD45:AG45" si="141">AD5</f>
        <v>reported</v>
      </c>
      <c r="AE45" s="20" t="str">
        <f t="shared" si="141"/>
        <v>reported</v>
      </c>
      <c r="AF45" s="20" t="str">
        <f t="shared" si="141"/>
        <v>reported</v>
      </c>
      <c r="AG45" s="20" t="str">
        <f t="shared" si="141"/>
        <v>reported</v>
      </c>
      <c r="AH45" s="20" t="str">
        <f t="shared" ref="AH45:AJ45" si="142">AH5</f>
        <v>reported</v>
      </c>
      <c r="AI45" s="20" t="str">
        <f t="shared" si="142"/>
        <v>reported</v>
      </c>
      <c r="AJ45" s="20" t="str">
        <f t="shared" si="142"/>
        <v>reported</v>
      </c>
      <c r="AK45" s="20" t="str">
        <f t="shared" ref="AK45:AL45" si="143">AK5</f>
        <v>reported</v>
      </c>
      <c r="AL45" s="20" t="str">
        <f t="shared" si="143"/>
        <v>reported</v>
      </c>
    </row>
    <row r="47" spans="1:38" hidden="1" outlineLevel="1">
      <c r="A47" s="41" t="s">
        <v>0</v>
      </c>
      <c r="B47" s="17"/>
      <c r="C47" s="23">
        <v>2980.0859999999998</v>
      </c>
      <c r="D47" s="23">
        <v>2927.2</v>
      </c>
      <c r="E47" s="23">
        <v>2968.2190000000001</v>
      </c>
      <c r="F47" s="33">
        <f>'Balance Sheet - FY'!C47</f>
        <v>2980.2939999999999</v>
      </c>
      <c r="G47" s="23">
        <v>3004.1410000000001</v>
      </c>
      <c r="H47" s="23">
        <v>2970.884</v>
      </c>
      <c r="I47" s="23">
        <v>3001.4388969658894</v>
      </c>
      <c r="J47" s="33">
        <f>'Balance Sheet - FY'!D47</f>
        <v>3092.9270000000001</v>
      </c>
      <c r="K47" s="23">
        <v>3621.0349999999999</v>
      </c>
      <c r="L47" s="23">
        <v>3593.5940000000001</v>
      </c>
      <c r="M47" s="23">
        <v>3593.2420000000002</v>
      </c>
      <c r="N47" s="33">
        <f>'Balance Sheet - FY'!E47</f>
        <v>3649.8090000000002</v>
      </c>
      <c r="O47" s="23">
        <v>3409.1579999999999</v>
      </c>
      <c r="P47" s="23">
        <v>3309.7579999999998</v>
      </c>
      <c r="Q47" s="23">
        <v>3187.4229999999998</v>
      </c>
      <c r="R47" s="33">
        <f>'Balance Sheet - FY'!F47</f>
        <v>3159.7669999999998</v>
      </c>
      <c r="S47" s="23">
        <v>3187.83</v>
      </c>
      <c r="T47" s="23">
        <v>3224.3449999999998</v>
      </c>
      <c r="U47" s="23">
        <v>3184.7420000000002</v>
      </c>
      <c r="V47" s="33">
        <f>'Balance Sheet - FY'!G47</f>
        <v>3288.9140000000002</v>
      </c>
      <c r="W47" s="23">
        <v>3315.0920000000001</v>
      </c>
      <c r="X47" s="23">
        <v>3451.5859999999998</v>
      </c>
      <c r="Y47" s="23">
        <v>3463.4</v>
      </c>
      <c r="Z47" s="33">
        <f>'Balance Sheet - FY'!H47</f>
        <v>3399.6280000000002</v>
      </c>
      <c r="AA47" s="23">
        <v>3370.857</v>
      </c>
      <c r="AB47" s="23">
        <v>3367.52</v>
      </c>
      <c r="AC47" s="23">
        <v>3375.7830279999998</v>
      </c>
      <c r="AD47" s="33">
        <f>+'Balance Sheet - FY'!I47</f>
        <v>3409.1143700000002</v>
      </c>
      <c r="AE47" s="161">
        <v>3430.7532900000001</v>
      </c>
      <c r="AF47" s="23">
        <v>3377.5199120000002</v>
      </c>
      <c r="AG47" s="23">
        <v>3313.952796</v>
      </c>
      <c r="AH47" s="33">
        <f>'Balance Sheet - FY'!J47</f>
        <v>3427.7557379999998</v>
      </c>
      <c r="AI47" s="23">
        <v>3385.3370240000004</v>
      </c>
      <c r="AJ47" s="23">
        <v>3274.9292110000001</v>
      </c>
      <c r="AK47" s="23">
        <v>3290.9729400000001</v>
      </c>
      <c r="AL47" s="33">
        <f>+'Balance Sheet - FY'!K47</f>
        <v>3366.3847040000001</v>
      </c>
    </row>
    <row r="48" spans="1:38" hidden="1" outlineLevel="1">
      <c r="A48" s="40" t="s">
        <v>1</v>
      </c>
      <c r="B48" s="12"/>
      <c r="C48" s="44">
        <v>5968.5029999999997</v>
      </c>
      <c r="D48" s="44">
        <v>5940.3819999999996</v>
      </c>
      <c r="E48" s="44">
        <v>5910.33</v>
      </c>
      <c r="F48" s="48">
        <f>'Balance Sheet - FY'!C48</f>
        <v>5893.7039999999997</v>
      </c>
      <c r="G48" s="44">
        <v>5862.2629999999999</v>
      </c>
      <c r="H48" s="44">
        <v>5832.19</v>
      </c>
      <c r="I48" s="44">
        <v>5803.2489999999998</v>
      </c>
      <c r="J48" s="48">
        <f>'Balance Sheet - FY'!D48</f>
        <v>5783.3379999999997</v>
      </c>
      <c r="K48" s="44">
        <v>5753.3540000000003</v>
      </c>
      <c r="L48" s="44">
        <v>5725.6270000000004</v>
      </c>
      <c r="M48" s="44">
        <v>5697.9229999999998</v>
      </c>
      <c r="N48" s="48">
        <f>'Balance Sheet - FY'!E48</f>
        <v>5680.1750000000002</v>
      </c>
      <c r="O48" s="44">
        <v>5648.0069999999996</v>
      </c>
      <c r="P48" s="44">
        <v>5639.8109999999997</v>
      </c>
      <c r="Q48" s="44">
        <v>5609.0630000000001</v>
      </c>
      <c r="R48" s="48">
        <f>'Balance Sheet - FY'!F48</f>
        <v>5582.0330000000004</v>
      </c>
      <c r="S48" s="44">
        <v>5557.4179999999997</v>
      </c>
      <c r="T48" s="44">
        <v>5535.3850000000002</v>
      </c>
      <c r="U48" s="44">
        <v>5508.1549999999997</v>
      </c>
      <c r="V48" s="48">
        <f>'Balance Sheet - FY'!G48</f>
        <v>5485.665</v>
      </c>
      <c r="W48" s="44">
        <v>5460.2049999999999</v>
      </c>
      <c r="X48" s="44">
        <v>5435.4629999999997</v>
      </c>
      <c r="Y48" s="44">
        <v>5411.4</v>
      </c>
      <c r="Z48" s="48">
        <f>'Balance Sheet - FY'!H48</f>
        <v>5382.8370000000004</v>
      </c>
      <c r="AA48" s="44">
        <v>5350.4030000000002</v>
      </c>
      <c r="AB48" s="44">
        <v>5318.6450000000004</v>
      </c>
      <c r="AC48" s="44">
        <v>5288.592952</v>
      </c>
      <c r="AD48" s="48">
        <f>+'Balance Sheet - FY'!I48</f>
        <v>5263.7867079999996</v>
      </c>
      <c r="AE48" s="44">
        <v>5242.0038709999999</v>
      </c>
      <c r="AF48" s="44">
        <v>5210.2130109999998</v>
      </c>
      <c r="AG48" s="44">
        <v>5180.470902</v>
      </c>
      <c r="AH48" s="48">
        <f>'Balance Sheet - FY'!J48</f>
        <v>5159.7290599999997</v>
      </c>
      <c r="AI48" s="44">
        <v>5132.8098729999992</v>
      </c>
      <c r="AJ48" s="44">
        <v>5091.7352220000002</v>
      </c>
      <c r="AK48" s="44">
        <v>5063.2530800000004</v>
      </c>
      <c r="AL48" s="33">
        <f>+'Balance Sheet - FY'!K48</f>
        <v>5047.7663890000003</v>
      </c>
    </row>
    <row r="49" spans="1:38" ht="13" hidden="1" outlineLevel="1">
      <c r="A49" s="141" t="s">
        <v>48</v>
      </c>
      <c r="B49" s="142"/>
      <c r="C49" s="144">
        <v>1877.3630000000001</v>
      </c>
      <c r="D49" s="144">
        <v>1877.3630000000001</v>
      </c>
      <c r="E49" s="144">
        <v>1877.3630000000001</v>
      </c>
      <c r="F49" s="143">
        <f>'Balance Sheet - FY'!C49</f>
        <v>1877.3630000000001</v>
      </c>
      <c r="G49" s="144">
        <v>1877.3630000000001</v>
      </c>
      <c r="H49" s="144">
        <v>1877.3630000000001</v>
      </c>
      <c r="I49" s="144">
        <v>1877.3630000000001</v>
      </c>
      <c r="J49" s="143">
        <f>'Balance Sheet - FY'!D49</f>
        <v>1886.9</v>
      </c>
      <c r="K49" s="144">
        <v>1886.999</v>
      </c>
      <c r="L49" s="144">
        <v>1886.999</v>
      </c>
      <c r="M49" s="144">
        <v>1886.999</v>
      </c>
      <c r="N49" s="143">
        <f>'Balance Sheet - FY'!E49</f>
        <v>1886.9</v>
      </c>
      <c r="O49" s="144">
        <v>1884.981</v>
      </c>
      <c r="P49" s="144">
        <v>1884.451</v>
      </c>
      <c r="Q49" s="144">
        <v>1883.95866</v>
      </c>
      <c r="R49" s="143">
        <f>'Balance Sheet - FY'!F49</f>
        <v>1883.9449999999999</v>
      </c>
      <c r="S49" s="144">
        <v>1883.636</v>
      </c>
      <c r="T49" s="144">
        <v>1884.19</v>
      </c>
      <c r="U49" s="144">
        <v>1883.788</v>
      </c>
      <c r="V49" s="143">
        <f>'Balance Sheet - FY'!G49</f>
        <v>1883.7650000000001</v>
      </c>
      <c r="W49" s="144">
        <v>1885.0609999999999</v>
      </c>
      <c r="X49" s="144">
        <v>1884.7429999999999</v>
      </c>
      <c r="Y49" s="144">
        <v>1885</v>
      </c>
      <c r="Z49" s="143">
        <f>'Balance Sheet - FY'!H49</f>
        <v>1884.6289999999999</v>
      </c>
      <c r="AA49" s="144">
        <v>1884.6679999999999</v>
      </c>
      <c r="AB49" s="144">
        <v>1885.0530000000001</v>
      </c>
      <c r="AC49" s="144">
        <v>1884.998</v>
      </c>
      <c r="AD49" s="143">
        <f>+'Balance Sheet - FY'!I49</f>
        <v>1884.925</v>
      </c>
      <c r="AE49" s="144">
        <v>1896</v>
      </c>
      <c r="AF49" s="144">
        <v>1894.2650000000001</v>
      </c>
      <c r="AG49" s="144">
        <v>1893.9380000000001</v>
      </c>
      <c r="AH49" s="143">
        <f>'Balance Sheet - FY'!J49</f>
        <v>1886.711</v>
      </c>
      <c r="AI49" s="214">
        <v>1892.2719999999999</v>
      </c>
      <c r="AJ49" s="214">
        <v>1882.7080000000001</v>
      </c>
      <c r="AK49" s="214">
        <v>1882.98</v>
      </c>
      <c r="AL49" s="143">
        <f>'Balance Sheet - FY'!K49</f>
        <v>1880.25</v>
      </c>
    </row>
    <row r="50" spans="1:38" hidden="1" outlineLevel="1">
      <c r="A50" s="40" t="s">
        <v>49</v>
      </c>
      <c r="B50" s="12"/>
      <c r="C50" s="44">
        <v>43.825000000000003</v>
      </c>
      <c r="D50" s="44">
        <v>42.966000000000001</v>
      </c>
      <c r="E50" s="44">
        <v>40.302</v>
      </c>
      <c r="F50" s="48">
        <f>'Balance Sheet - FY'!C50</f>
        <v>17.48</v>
      </c>
      <c r="G50" s="44">
        <v>11.888</v>
      </c>
      <c r="H50" s="44">
        <v>8.3469999999999995</v>
      </c>
      <c r="I50" s="44">
        <v>8.4440000000000008</v>
      </c>
      <c r="J50" s="48">
        <f>'Balance Sheet - FY'!D50</f>
        <v>72.704999999999998</v>
      </c>
      <c r="K50" s="44">
        <v>92.11</v>
      </c>
      <c r="L50" s="44">
        <v>88.540999999999997</v>
      </c>
      <c r="M50" s="44">
        <v>85.055000000000007</v>
      </c>
      <c r="N50" s="48">
        <f>'Balance Sheet - FY'!E50</f>
        <v>80.846000000000004</v>
      </c>
      <c r="O50" s="44">
        <v>76.132999999999996</v>
      </c>
      <c r="P50" s="44">
        <v>76.004999999999995</v>
      </c>
      <c r="Q50" s="44">
        <v>72.915999999999997</v>
      </c>
      <c r="R50" s="48">
        <f>'Balance Sheet - FY'!F50</f>
        <v>72.587999999999994</v>
      </c>
      <c r="S50" s="44">
        <v>74.731999999999999</v>
      </c>
      <c r="T50" s="44">
        <v>75.650000000000006</v>
      </c>
      <c r="U50" s="44">
        <v>77.135999999999996</v>
      </c>
      <c r="V50" s="48">
        <f>'Balance Sheet - FY'!G50</f>
        <v>80.885999999999996</v>
      </c>
      <c r="W50" s="44">
        <v>83.152000000000001</v>
      </c>
      <c r="X50" s="44">
        <v>82.998000000000005</v>
      </c>
      <c r="Y50" s="44">
        <v>85.2</v>
      </c>
      <c r="Z50" s="48">
        <f>'Balance Sheet - FY'!H50</f>
        <v>80.227000000000004</v>
      </c>
      <c r="AA50" s="44">
        <v>82.284999999999997</v>
      </c>
      <c r="AB50" s="44">
        <v>81.39</v>
      </c>
      <c r="AC50" s="44">
        <v>85.29543799999999</v>
      </c>
      <c r="AD50" s="48">
        <f>+'Balance Sheet - FY'!I50</f>
        <v>86.396899999999988</v>
      </c>
      <c r="AE50" s="162">
        <v>94.060647000000003</v>
      </c>
      <c r="AF50" s="44">
        <v>102.08022100000001</v>
      </c>
      <c r="AG50" s="44">
        <v>107.02497100000001</v>
      </c>
      <c r="AH50" s="48">
        <f>'Balance Sheet - FY'!J50</f>
        <v>120.789675</v>
      </c>
      <c r="AI50" s="44">
        <v>132.47801500000003</v>
      </c>
      <c r="AJ50" s="44">
        <v>126.893282</v>
      </c>
      <c r="AK50" s="44">
        <v>134.07347399999998</v>
      </c>
      <c r="AL50" s="48">
        <f>'Balance Sheet - FY'!K50</f>
        <v>141.39695900000001</v>
      </c>
    </row>
    <row r="51" spans="1:38" hidden="1" outlineLevel="1">
      <c r="A51" s="40" t="s">
        <v>50</v>
      </c>
      <c r="B51" s="12"/>
      <c r="C51" s="44">
        <v>221.16499999999999</v>
      </c>
      <c r="D51" s="44">
        <v>220.90899999999999</v>
      </c>
      <c r="E51" s="44">
        <v>228.51300000000001</v>
      </c>
      <c r="F51" s="48">
        <f>'Balance Sheet - FY'!C51</f>
        <v>229.51900000000001</v>
      </c>
      <c r="G51" s="44">
        <v>0</v>
      </c>
      <c r="H51" s="44">
        <v>0</v>
      </c>
      <c r="I51" s="44">
        <v>0</v>
      </c>
      <c r="J51" s="48">
        <f>'Balance Sheet - FY'!D51</f>
        <v>0</v>
      </c>
      <c r="K51" s="44">
        <v>0</v>
      </c>
      <c r="L51" s="44">
        <v>0</v>
      </c>
      <c r="M51" s="44">
        <v>0</v>
      </c>
      <c r="N51" s="48">
        <f>'Balance Sheet - FY'!E51</f>
        <v>0</v>
      </c>
      <c r="O51" s="44">
        <v>0</v>
      </c>
      <c r="P51" s="44">
        <v>0</v>
      </c>
      <c r="Q51" s="44">
        <v>0</v>
      </c>
      <c r="R51" s="48">
        <f>'Balance Sheet - FY'!F51</f>
        <v>0</v>
      </c>
      <c r="S51" s="44">
        <v>0</v>
      </c>
      <c r="T51" s="44">
        <v>0</v>
      </c>
      <c r="U51" s="44">
        <v>0</v>
      </c>
      <c r="V51" s="48">
        <f>'Balance Sheet - FY'!G51</f>
        <v>0</v>
      </c>
      <c r="W51" s="44">
        <v>0</v>
      </c>
      <c r="X51" s="44">
        <v>0</v>
      </c>
      <c r="Y51" s="44">
        <v>0</v>
      </c>
      <c r="Z51" s="48">
        <f>'Balance Sheet - FY'!H51</f>
        <v>0</v>
      </c>
      <c r="AA51" s="44">
        <v>0</v>
      </c>
      <c r="AB51" s="44">
        <v>0</v>
      </c>
      <c r="AC51" s="44">
        <v>0</v>
      </c>
      <c r="AD51" s="48">
        <f>+'Balance Sheet - FY'!I51</f>
        <v>0</v>
      </c>
      <c r="AE51" s="44">
        <v>0</v>
      </c>
      <c r="AF51" s="44">
        <v>0</v>
      </c>
      <c r="AG51" s="44">
        <v>0</v>
      </c>
      <c r="AH51" s="48">
        <f>'Balance Sheet - FY'!J51</f>
        <v>0</v>
      </c>
      <c r="AI51" s="44">
        <v>0</v>
      </c>
      <c r="AJ51" s="44">
        <v>0</v>
      </c>
      <c r="AK51" s="44">
        <v>0</v>
      </c>
      <c r="AL51" s="48">
        <f>'Balance Sheet - FY'!K51</f>
        <v>0</v>
      </c>
    </row>
    <row r="52" spans="1:38" hidden="1" outlineLevel="1">
      <c r="A52" s="40" t="s">
        <v>174</v>
      </c>
      <c r="B52" s="12"/>
      <c r="C52" s="44">
        <v>0</v>
      </c>
      <c r="D52" s="44">
        <v>0</v>
      </c>
      <c r="E52" s="44">
        <v>0</v>
      </c>
      <c r="F52" s="48">
        <f>'Balance Sheet - FY'!C52</f>
        <v>0</v>
      </c>
      <c r="G52" s="44">
        <v>0</v>
      </c>
      <c r="H52" s="44">
        <v>0</v>
      </c>
      <c r="I52" s="44">
        <v>0</v>
      </c>
      <c r="J52" s="48">
        <f>'Balance Sheet - FY'!D52</f>
        <v>0</v>
      </c>
      <c r="K52" s="44">
        <v>0</v>
      </c>
      <c r="L52" s="44">
        <v>0</v>
      </c>
      <c r="M52" s="44">
        <v>0</v>
      </c>
      <c r="N52" s="48">
        <f>'Balance Sheet - FY'!E52</f>
        <v>0</v>
      </c>
      <c r="O52" s="44">
        <v>0</v>
      </c>
      <c r="P52" s="44">
        <v>0</v>
      </c>
      <c r="Q52" s="44">
        <v>0</v>
      </c>
      <c r="R52" s="48">
        <f>'Balance Sheet - FY'!F52</f>
        <v>0</v>
      </c>
      <c r="S52" s="44">
        <v>0</v>
      </c>
      <c r="T52" s="44">
        <v>0</v>
      </c>
      <c r="U52" s="44">
        <v>0</v>
      </c>
      <c r="V52" s="48">
        <f>'Balance Sheet - FY'!G52</f>
        <v>0</v>
      </c>
      <c r="W52" s="44">
        <v>0</v>
      </c>
      <c r="X52" s="44">
        <v>0</v>
      </c>
      <c r="Y52" s="44">
        <v>0</v>
      </c>
      <c r="Z52" s="48">
        <f>'Balance Sheet - FY'!H52</f>
        <v>0</v>
      </c>
      <c r="AA52" s="44">
        <v>0</v>
      </c>
      <c r="AB52" s="44">
        <v>0</v>
      </c>
      <c r="AC52" s="44">
        <v>0</v>
      </c>
      <c r="AD52" s="48">
        <f>+'Balance Sheet - FY'!I52</f>
        <v>0</v>
      </c>
      <c r="AE52" s="44">
        <v>0</v>
      </c>
      <c r="AF52" s="44">
        <v>0</v>
      </c>
      <c r="AG52" s="44">
        <v>0</v>
      </c>
      <c r="AH52" s="48">
        <f>'Balance Sheet - FY'!J52</f>
        <v>0</v>
      </c>
      <c r="AI52" s="44">
        <v>0</v>
      </c>
      <c r="AJ52" s="44">
        <v>0</v>
      </c>
      <c r="AK52" s="44">
        <v>0</v>
      </c>
      <c r="AL52" s="48">
        <f>'Balance Sheet - FY'!K52</f>
        <v>0</v>
      </c>
    </row>
    <row r="53" spans="1:38" hidden="1" outlineLevel="1">
      <c r="A53" s="40" t="s">
        <v>225</v>
      </c>
      <c r="B53" s="12"/>
      <c r="C53" s="44">
        <v>0</v>
      </c>
      <c r="D53" s="44">
        <v>0</v>
      </c>
      <c r="E53" s="44">
        <v>0</v>
      </c>
      <c r="F53" s="48">
        <f>'Balance Sheet - FY'!C53</f>
        <v>0</v>
      </c>
      <c r="G53" s="44">
        <v>79.918000000000006</v>
      </c>
      <c r="H53" s="44">
        <v>69.8</v>
      </c>
      <c r="I53" s="44">
        <v>67.504999999999995</v>
      </c>
      <c r="J53" s="48">
        <f>'Balance Sheet - FY'!D53</f>
        <v>68.781000000000006</v>
      </c>
      <c r="K53" s="44">
        <v>75.650000000000006</v>
      </c>
      <c r="L53" s="44">
        <v>67.427999999999997</v>
      </c>
      <c r="M53" s="44">
        <v>60.51</v>
      </c>
      <c r="N53" s="48">
        <f>'Balance Sheet - FY'!E53</f>
        <v>58.966999999999999</v>
      </c>
      <c r="O53" s="44">
        <v>41.575000000000003</v>
      </c>
      <c r="P53" s="44">
        <v>42.143000000000001</v>
      </c>
      <c r="Q53" s="44">
        <v>39.414999999999999</v>
      </c>
      <c r="R53" s="48">
        <f>'Balance Sheet - FY'!F53</f>
        <v>42.72</v>
      </c>
      <c r="S53" s="44">
        <v>50.658000000000001</v>
      </c>
      <c r="T53" s="44">
        <v>52.161999999999999</v>
      </c>
      <c r="U53" s="44">
        <v>52.485999999999997</v>
      </c>
      <c r="V53" s="48">
        <f>'Balance Sheet - FY'!G53</f>
        <v>56.906999999999996</v>
      </c>
      <c r="W53" s="44">
        <v>52.317</v>
      </c>
      <c r="X53" s="44">
        <v>47.097999999999999</v>
      </c>
      <c r="Y53" s="44">
        <v>46.7</v>
      </c>
      <c r="Z53" s="48">
        <f>'Balance Sheet - FY'!H53</f>
        <v>48.419302999999999</v>
      </c>
      <c r="AA53" s="44">
        <v>51.323999999999998</v>
      </c>
      <c r="AB53" s="44">
        <v>54.15</v>
      </c>
      <c r="AC53" s="44">
        <v>55.061866000000002</v>
      </c>
      <c r="AD53" s="48">
        <f>+'Balance Sheet - FY'!I53</f>
        <v>52.837099000000002</v>
      </c>
      <c r="AE53" s="162">
        <v>59.521152000000001</v>
      </c>
      <c r="AF53" s="44">
        <v>58.185910000000007</v>
      </c>
      <c r="AG53" s="44">
        <v>63.247582000000001</v>
      </c>
      <c r="AH53" s="48">
        <f>'Balance Sheet - FY'!J53</f>
        <v>63.293714000000001</v>
      </c>
      <c r="AI53" s="44">
        <v>72.434024999999991</v>
      </c>
      <c r="AJ53" s="44">
        <v>78.356496000000007</v>
      </c>
      <c r="AK53" s="44">
        <v>84.198494000000011</v>
      </c>
      <c r="AL53" s="48">
        <f>'Balance Sheet - FY'!K53</f>
        <v>37.599322000000001</v>
      </c>
    </row>
    <row r="54" spans="1:38" hidden="1" outlineLevel="1">
      <c r="A54" s="40" t="s">
        <v>51</v>
      </c>
      <c r="B54" s="12"/>
      <c r="C54" s="44">
        <v>115.78</v>
      </c>
      <c r="D54" s="44">
        <v>158.38</v>
      </c>
      <c r="E54" s="44">
        <v>194.239</v>
      </c>
      <c r="F54" s="48">
        <f>'Balance Sheet - FY'!C54</f>
        <v>111.553</v>
      </c>
      <c r="G54" s="44">
        <v>104.785</v>
      </c>
      <c r="H54" s="44">
        <v>85.393000000000001</v>
      </c>
      <c r="I54" s="44">
        <v>72.073999999999998</v>
      </c>
      <c r="J54" s="48">
        <f>'Balance Sheet - FY'!D54</f>
        <v>74.117999999999995</v>
      </c>
      <c r="K54" s="44">
        <v>59.25</v>
      </c>
      <c r="L54" s="44">
        <v>67.513999999999996</v>
      </c>
      <c r="M54" s="44">
        <v>67.95</v>
      </c>
      <c r="N54" s="48">
        <f>'Balance Sheet - FY'!E54</f>
        <v>81.188000000000002</v>
      </c>
      <c r="O54" s="44">
        <v>81.248000000000005</v>
      </c>
      <c r="P54" s="44">
        <v>120.679</v>
      </c>
      <c r="Q54" s="44">
        <v>105.155</v>
      </c>
      <c r="R54" s="48">
        <f>'Balance Sheet - FY'!F54</f>
        <v>109.378</v>
      </c>
      <c r="S54" s="44">
        <v>121.461</v>
      </c>
      <c r="T54" s="44">
        <v>149.679</v>
      </c>
      <c r="U54" s="44">
        <v>128.50200000000001</v>
      </c>
      <c r="V54" s="48">
        <f>'Balance Sheet - FY'!G54</f>
        <v>137.643</v>
      </c>
      <c r="W54" s="44">
        <v>150.78100000000001</v>
      </c>
      <c r="X54" s="44">
        <v>142.446988</v>
      </c>
      <c r="Y54" s="44">
        <v>165.4</v>
      </c>
      <c r="Z54" s="48">
        <f>'Balance Sheet - FY'!H54</f>
        <v>176.96859499999999</v>
      </c>
      <c r="AA54" s="44">
        <v>175.012</v>
      </c>
      <c r="AB54" s="44">
        <v>192.6</v>
      </c>
      <c r="AC54" s="44">
        <v>204.913152</v>
      </c>
      <c r="AD54" s="48">
        <f>+'Balance Sheet - FY'!I54</f>
        <v>202.84903</v>
      </c>
      <c r="AE54" s="44">
        <v>184.78604100000001</v>
      </c>
      <c r="AF54" s="44">
        <v>178.04834500000001</v>
      </c>
      <c r="AG54" s="44">
        <v>174.32906800000001</v>
      </c>
      <c r="AH54" s="48">
        <f>'Balance Sheet - FY'!J54</f>
        <v>228.739846</v>
      </c>
      <c r="AI54" s="44">
        <v>231.79068900000001</v>
      </c>
      <c r="AJ54" s="44">
        <v>218.10892200000001</v>
      </c>
      <c r="AK54" s="44">
        <v>218.634522</v>
      </c>
      <c r="AL54" s="48">
        <f>'Balance Sheet - FY'!K54</f>
        <v>210.48958300000001</v>
      </c>
    </row>
    <row r="55" spans="1:38" hidden="1" outlineLevel="2">
      <c r="A55" s="55" t="s">
        <v>104</v>
      </c>
      <c r="B55" s="12"/>
      <c r="C55" s="44">
        <v>98.578999999999994</v>
      </c>
      <c r="D55" s="44">
        <v>110.97</v>
      </c>
      <c r="E55" s="44">
        <v>109.36499999999999</v>
      </c>
      <c r="F55" s="48">
        <f>'Balance Sheet - FY'!C55</f>
        <v>94.584999999999994</v>
      </c>
      <c r="G55" s="44">
        <v>92.641000000000005</v>
      </c>
      <c r="H55" s="44">
        <v>87.024000000000001</v>
      </c>
      <c r="I55" s="44">
        <v>85.754999999999995</v>
      </c>
      <c r="J55" s="48">
        <f>'Balance Sheet - FY'!D55</f>
        <v>123.547</v>
      </c>
      <c r="K55" s="44">
        <v>112.76100000000001</v>
      </c>
      <c r="L55" s="44">
        <v>114.623</v>
      </c>
      <c r="M55" s="44">
        <v>115.633</v>
      </c>
      <c r="N55" s="48">
        <f>'Balance Sheet - FY'!E55</f>
        <v>135.99600000000001</v>
      </c>
      <c r="O55" s="44">
        <v>282.459</v>
      </c>
      <c r="P55" s="44">
        <v>272.04599999999999</v>
      </c>
      <c r="Q55" s="44">
        <v>263.411</v>
      </c>
      <c r="R55" s="48">
        <f>'Balance Sheet - FY'!F55</f>
        <v>265.94499999999999</v>
      </c>
      <c r="S55" s="44">
        <v>273.52300000000002</v>
      </c>
      <c r="T55" s="44">
        <v>260.5</v>
      </c>
      <c r="U55" s="44">
        <v>257.11799999999999</v>
      </c>
      <c r="V55" s="48">
        <f>'Balance Sheet - FY'!G55</f>
        <v>261.52199999999999</v>
      </c>
      <c r="W55" s="44">
        <v>276.274</v>
      </c>
      <c r="X55" s="44">
        <v>275.68299999999999</v>
      </c>
      <c r="Y55" s="44">
        <v>280.39999999999998</v>
      </c>
      <c r="Z55" s="48">
        <f>'Balance Sheet - FY'!H55</f>
        <v>104.767</v>
      </c>
      <c r="AA55" s="44">
        <v>106.44199999999999</v>
      </c>
      <c r="AB55" s="44">
        <v>111.49</v>
      </c>
      <c r="AC55" s="44">
        <v>112.334</v>
      </c>
      <c r="AD55" s="48">
        <f>+'Balance Sheet - FY'!I55</f>
        <v>112.828</v>
      </c>
      <c r="AE55" s="164">
        <v>112.774</v>
      </c>
      <c r="AF55" s="44">
        <f>114.598-8.629</f>
        <v>105.96899999999999</v>
      </c>
      <c r="AG55" s="44">
        <f>114.113-8.791</f>
        <v>105.322</v>
      </c>
      <c r="AH55" s="48">
        <f>'Balance Sheet - FY'!J55</f>
        <v>104.288</v>
      </c>
      <c r="AI55" s="44">
        <v>108.374</v>
      </c>
      <c r="AJ55" s="44">
        <f>106.478-0.306</f>
        <v>106.172</v>
      </c>
      <c r="AK55" s="44">
        <f>107.176-0.306</f>
        <v>106.87</v>
      </c>
      <c r="AL55" s="48">
        <f>'Balance Sheet - FY'!K55</f>
        <v>119.70100000000001</v>
      </c>
    </row>
    <row r="56" spans="1:38" hidden="1" outlineLevel="2">
      <c r="A56" s="55" t="s">
        <v>105</v>
      </c>
      <c r="B56" s="12"/>
      <c r="C56" s="44">
        <v>113.58800000000001</v>
      </c>
      <c r="D56" s="44">
        <v>104.76400000000001</v>
      </c>
      <c r="E56" s="44">
        <v>112.63600000000001</v>
      </c>
      <c r="F56" s="48">
        <f>'Balance Sheet - FY'!C56</f>
        <v>109.46599999999999</v>
      </c>
      <c r="G56" s="44">
        <v>116.06499999999998</v>
      </c>
      <c r="H56" s="44">
        <v>108.43799999999999</v>
      </c>
      <c r="I56" s="44">
        <v>106.268</v>
      </c>
      <c r="J56" s="48">
        <f>'Balance Sheet - FY'!D56</f>
        <v>102.16</v>
      </c>
      <c r="K56" s="44">
        <v>101.57899999999999</v>
      </c>
      <c r="L56" s="44">
        <v>288.416</v>
      </c>
      <c r="M56" s="44">
        <v>222.834</v>
      </c>
      <c r="N56" s="48">
        <f>'Balance Sheet - FY'!E56</f>
        <v>206.40099999999998</v>
      </c>
      <c r="O56" s="44">
        <v>166.00900000000001</v>
      </c>
      <c r="P56" s="44">
        <v>145.22000000000003</v>
      </c>
      <c r="Q56" s="44">
        <v>145.11099999999999</v>
      </c>
      <c r="R56" s="48">
        <f>'Balance Sheet - FY'!F56</f>
        <v>136.20300000000003</v>
      </c>
      <c r="S56" s="44">
        <v>114.60899999999999</v>
      </c>
      <c r="T56" s="44">
        <v>128.34300000000002</v>
      </c>
      <c r="U56" s="44">
        <v>121.343</v>
      </c>
      <c r="V56" s="48">
        <f>'Balance Sheet - FY'!G56</f>
        <v>101.42200000000003</v>
      </c>
      <c r="W56" s="44">
        <v>120.74099999999999</v>
      </c>
      <c r="X56" s="44">
        <v>170.93600000000001</v>
      </c>
      <c r="Y56" s="44">
        <v>178.9</v>
      </c>
      <c r="Z56" s="48">
        <f>'Balance Sheet - FY'!H56</f>
        <v>126.4</v>
      </c>
      <c r="AA56" s="44">
        <f>231.589-AA55</f>
        <v>125.14700000000001</v>
      </c>
      <c r="AB56" s="44">
        <v>131.84</v>
      </c>
      <c r="AC56" s="44">
        <f>245.795-AC55</f>
        <v>133.46099999999998</v>
      </c>
      <c r="AD56" s="48">
        <f>+'Balance Sheet - FY'!I56</f>
        <v>295.79730499999994</v>
      </c>
      <c r="AE56" s="164">
        <f>407.246733-AE55</f>
        <v>294.47273300000001</v>
      </c>
      <c r="AF56" s="44">
        <f>374.496-AF55</f>
        <v>268.52699999999999</v>
      </c>
      <c r="AG56" s="44">
        <f>373.414-AG55</f>
        <v>268.09199999999998</v>
      </c>
      <c r="AH56" s="48">
        <f>'Balance Sheet - FY'!J56</f>
        <v>205.237617</v>
      </c>
      <c r="AI56" s="44">
        <v>215.07000000000002</v>
      </c>
      <c r="AJ56" s="44">
        <f>310.339-AJ55</f>
        <v>204.167</v>
      </c>
      <c r="AK56" s="44">
        <f>320.508-AK55</f>
        <v>213.63799999999998</v>
      </c>
      <c r="AL56" s="48">
        <f>'Balance Sheet - FY'!K56</f>
        <v>202.303</v>
      </c>
    </row>
    <row r="57" spans="1:38" hidden="1" outlineLevel="1">
      <c r="A57" s="40" t="s">
        <v>52</v>
      </c>
      <c r="B57" s="12"/>
      <c r="C57" s="51">
        <f t="shared" ref="C57:I57" si="144">IFERROR(C55+C56,"n.a.")</f>
        <v>212.167</v>
      </c>
      <c r="D57" s="51">
        <f t="shared" si="144"/>
        <v>215.73400000000001</v>
      </c>
      <c r="E57" s="51">
        <f t="shared" si="144"/>
        <v>222.001</v>
      </c>
      <c r="F57" s="51">
        <f t="shared" si="144"/>
        <v>204.05099999999999</v>
      </c>
      <c r="G57" s="51">
        <f t="shared" si="144"/>
        <v>208.70599999999999</v>
      </c>
      <c r="H57" s="51">
        <f t="shared" si="144"/>
        <v>195.46199999999999</v>
      </c>
      <c r="I57" s="51">
        <f t="shared" si="144"/>
        <v>192.023</v>
      </c>
      <c r="J57" s="51">
        <f t="shared" ref="J57:AB57" si="145">IFERROR(J55+J56,"n.a.")</f>
        <v>225.70699999999999</v>
      </c>
      <c r="K57" s="51">
        <f t="shared" si="145"/>
        <v>214.34</v>
      </c>
      <c r="L57" s="51">
        <f t="shared" si="145"/>
        <v>403.03899999999999</v>
      </c>
      <c r="M57" s="51">
        <f t="shared" si="145"/>
        <v>338.46699999999998</v>
      </c>
      <c r="N57" s="51">
        <f t="shared" si="145"/>
        <v>342.39699999999999</v>
      </c>
      <c r="O57" s="51">
        <f t="shared" si="145"/>
        <v>448.46800000000002</v>
      </c>
      <c r="P57" s="51">
        <f t="shared" si="145"/>
        <v>417.26600000000002</v>
      </c>
      <c r="Q57" s="51">
        <f t="shared" si="145"/>
        <v>408.52199999999999</v>
      </c>
      <c r="R57" s="51">
        <f t="shared" si="145"/>
        <v>402.14800000000002</v>
      </c>
      <c r="S57" s="51">
        <f t="shared" si="145"/>
        <v>388.13200000000001</v>
      </c>
      <c r="T57" s="51">
        <f t="shared" si="145"/>
        <v>388.84300000000002</v>
      </c>
      <c r="U57" s="51">
        <f t="shared" si="145"/>
        <v>378.46100000000001</v>
      </c>
      <c r="V57" s="51">
        <f t="shared" si="145"/>
        <v>362.94400000000002</v>
      </c>
      <c r="W57" s="51">
        <f t="shared" si="145"/>
        <v>397.01499999999999</v>
      </c>
      <c r="X57" s="51">
        <f t="shared" si="145"/>
        <v>446.61900000000003</v>
      </c>
      <c r="Y57" s="51">
        <f t="shared" si="145"/>
        <v>459.29999999999995</v>
      </c>
      <c r="Z57" s="51">
        <f t="shared" si="145"/>
        <v>231.167</v>
      </c>
      <c r="AA57" s="51">
        <f t="shared" si="145"/>
        <v>231.589</v>
      </c>
      <c r="AB57" s="51">
        <f t="shared" si="145"/>
        <v>243.32999999999998</v>
      </c>
      <c r="AC57" s="51">
        <v>245.79512</v>
      </c>
      <c r="AD57" s="51">
        <f>+'Balance Sheet - FY'!I57</f>
        <v>408.62530499999991</v>
      </c>
      <c r="AE57" s="51">
        <f t="shared" ref="AE57:AG57" si="146">IFERROR(AE55+AE56,"n.a.")</f>
        <v>407.24673300000001</v>
      </c>
      <c r="AF57" s="51">
        <f t="shared" si="146"/>
        <v>374.49599999999998</v>
      </c>
      <c r="AG57" s="51">
        <f t="shared" si="146"/>
        <v>373.41399999999999</v>
      </c>
      <c r="AH57" s="51">
        <f>'Balance Sheet - FY'!J57</f>
        <v>309.52561700000001</v>
      </c>
      <c r="AI57" s="51">
        <v>323.44355899999999</v>
      </c>
      <c r="AJ57" s="51">
        <f t="shared" ref="AJ57:AK57" si="147">IFERROR(AJ55+AJ56,"n.a.")</f>
        <v>310.339</v>
      </c>
      <c r="AK57" s="51">
        <f t="shared" si="147"/>
        <v>320.50799999999998</v>
      </c>
      <c r="AL57" s="51">
        <f t="shared" ref="AL57" si="148">IFERROR(AL55+AL56,"n.a.")</f>
        <v>322.00400000000002</v>
      </c>
    </row>
    <row r="58" spans="1:38" hidden="1" outlineLevel="1">
      <c r="A58" s="40" t="s">
        <v>53</v>
      </c>
      <c r="B58" s="12"/>
      <c r="C58" s="44">
        <v>20.765999999999998</v>
      </c>
      <c r="D58" s="44">
        <v>21.971</v>
      </c>
      <c r="E58" s="44">
        <v>21.478999999999999</v>
      </c>
      <c r="F58" s="48">
        <f>'Balance Sheet - FY'!C58</f>
        <v>27.318000000000001</v>
      </c>
      <c r="G58" s="44">
        <v>24.908000000000001</v>
      </c>
      <c r="H58" s="44">
        <v>18.495000000000001</v>
      </c>
      <c r="I58" s="44">
        <v>14.827999999999999</v>
      </c>
      <c r="J58" s="48">
        <f>'Balance Sheet - FY'!D58</f>
        <v>16.169</v>
      </c>
      <c r="K58" s="44">
        <v>15.335000000000001</v>
      </c>
      <c r="L58" s="44">
        <v>15.718</v>
      </c>
      <c r="M58" s="44">
        <v>15.648</v>
      </c>
      <c r="N58" s="48">
        <f>'Balance Sheet - FY'!E58</f>
        <v>9.14</v>
      </c>
      <c r="O58" s="44">
        <v>9.08</v>
      </c>
      <c r="P58" s="44">
        <v>7.5540000000000003</v>
      </c>
      <c r="Q58" s="44">
        <v>6.18</v>
      </c>
      <c r="R58" s="48">
        <f>'Balance Sheet - FY'!F58</f>
        <v>4.7610000000000001</v>
      </c>
      <c r="S58" s="44">
        <v>4.6669999999999998</v>
      </c>
      <c r="T58" s="44">
        <v>6.2610000000000001</v>
      </c>
      <c r="U58" s="44">
        <v>7.202</v>
      </c>
      <c r="V58" s="48">
        <f>'Balance Sheet - FY'!G58</f>
        <v>27.564</v>
      </c>
      <c r="W58" s="44">
        <v>33.148000000000003</v>
      </c>
      <c r="X58" s="44">
        <v>9.048</v>
      </c>
      <c r="Y58" s="44">
        <v>9.5</v>
      </c>
      <c r="Z58" s="48">
        <f>'Balance Sheet - FY'!H58</f>
        <v>9.0547260000000005</v>
      </c>
      <c r="AA58" s="44">
        <v>9.1</v>
      </c>
      <c r="AB58" s="44">
        <v>9.58</v>
      </c>
      <c r="AC58" s="44">
        <v>9.5149799999999995</v>
      </c>
      <c r="AD58" s="48">
        <f>+'Balance Sheet - FY'!I58</f>
        <v>11.317784</v>
      </c>
      <c r="AE58" s="44">
        <v>11.336283999999999</v>
      </c>
      <c r="AF58" s="44">
        <v>10.329674000000001</v>
      </c>
      <c r="AG58" s="44">
        <v>10.124362999999999</v>
      </c>
      <c r="AH58" s="48">
        <f>'Balance Sheet - FY'!J58</f>
        <v>9.9726479999999995</v>
      </c>
      <c r="AI58" s="44">
        <v>10.227202</v>
      </c>
      <c r="AJ58" s="44">
        <v>13.91126</v>
      </c>
      <c r="AK58" s="44">
        <v>9.8230589999999989</v>
      </c>
      <c r="AL58" s="48">
        <f>'Balance Sheet - FY'!K58</f>
        <v>7.8350710000000001</v>
      </c>
    </row>
    <row r="59" spans="1:38" hidden="1" outlineLevel="2">
      <c r="A59" s="55" t="s">
        <v>186</v>
      </c>
      <c r="B59" s="12"/>
      <c r="C59" s="44">
        <v>0</v>
      </c>
      <c r="D59" s="44">
        <v>0</v>
      </c>
      <c r="E59" s="44">
        <v>0</v>
      </c>
      <c r="F59" s="48">
        <f>'Balance Sheet - FY'!C59</f>
        <v>0</v>
      </c>
      <c r="G59" s="44">
        <v>0</v>
      </c>
      <c r="H59" s="44">
        <v>9.5370000000000008</v>
      </c>
      <c r="I59" s="44">
        <v>9.3330000000000002</v>
      </c>
      <c r="J59" s="48">
        <f>'Balance Sheet - FY'!D59</f>
        <v>20.134</v>
      </c>
      <c r="K59" s="44">
        <v>36.637</v>
      </c>
      <c r="L59" s="44">
        <v>17.63</v>
      </c>
      <c r="M59" s="44">
        <v>93.658000000000001</v>
      </c>
      <c r="N59" s="48">
        <f>'Balance Sheet - FY'!E59</f>
        <v>52.515000000000001</v>
      </c>
      <c r="O59" s="44">
        <v>90.433999999999997</v>
      </c>
      <c r="P59" s="44">
        <v>57.061</v>
      </c>
      <c r="Q59" s="44">
        <v>1.788</v>
      </c>
      <c r="R59" s="48">
        <f>'Balance Sheet - FY'!F59</f>
        <v>0</v>
      </c>
      <c r="S59" s="44">
        <v>0</v>
      </c>
      <c r="T59" s="44">
        <v>0</v>
      </c>
      <c r="U59" s="44">
        <v>0.64200000000000002</v>
      </c>
      <c r="V59" s="48">
        <f>'Balance Sheet - FY'!G59</f>
        <v>4.6120000000000001</v>
      </c>
      <c r="W59" s="44">
        <v>0.46800000000000003</v>
      </c>
      <c r="X59" s="44">
        <v>1.7629999999999999</v>
      </c>
      <c r="Y59" s="44">
        <v>22.9</v>
      </c>
      <c r="Z59" s="48">
        <f>'Balance Sheet - FY'!H59</f>
        <v>26.430126000000001</v>
      </c>
      <c r="AA59" s="44">
        <v>24.579000000000001</v>
      </c>
      <c r="AB59" s="44">
        <v>27.798999999999999</v>
      </c>
      <c r="AC59" s="44">
        <v>25.155898000000001</v>
      </c>
      <c r="AD59" s="48">
        <f>+'Balance Sheet - FY'!I59</f>
        <v>12.885952</v>
      </c>
      <c r="AE59" s="44">
        <v>15.592737999999999</v>
      </c>
      <c r="AF59" s="44">
        <v>14.6</v>
      </c>
      <c r="AG59" s="44">
        <v>6.4189999999999996</v>
      </c>
      <c r="AH59" s="48">
        <f>'Balance Sheet - FY'!J59</f>
        <v>4.3257240000000001</v>
      </c>
      <c r="AI59" s="44">
        <v>0</v>
      </c>
      <c r="AJ59" s="44">
        <v>0</v>
      </c>
      <c r="AK59" s="44">
        <v>0</v>
      </c>
      <c r="AL59" s="48">
        <f>'Balance Sheet - FY'!K59</f>
        <v>0</v>
      </c>
    </row>
    <row r="60" spans="1:38" hidden="1" outlineLevel="2">
      <c r="A60" s="55" t="s">
        <v>187</v>
      </c>
      <c r="B60" s="12"/>
      <c r="C60" s="44">
        <v>0</v>
      </c>
      <c r="D60" s="44">
        <v>0</v>
      </c>
      <c r="E60" s="44">
        <v>0</v>
      </c>
      <c r="F60" s="48">
        <f>'Balance Sheet - FY'!C60</f>
        <v>0.84799999999999998</v>
      </c>
      <c r="G60" s="44">
        <v>0.61499999999999999</v>
      </c>
      <c r="H60" s="44">
        <v>0</v>
      </c>
      <c r="I60" s="44">
        <v>0</v>
      </c>
      <c r="J60" s="48">
        <f>'Balance Sheet - FY'!D60</f>
        <v>0</v>
      </c>
      <c r="K60" s="44">
        <v>0</v>
      </c>
      <c r="L60" s="44">
        <v>0</v>
      </c>
      <c r="M60" s="44">
        <v>0</v>
      </c>
      <c r="N60" s="48">
        <f>'Balance Sheet - FY'!E60</f>
        <v>0</v>
      </c>
      <c r="O60" s="44">
        <v>0</v>
      </c>
      <c r="P60" s="44">
        <v>0</v>
      </c>
      <c r="Q60" s="44">
        <v>0</v>
      </c>
      <c r="R60" s="48">
        <f>'Balance Sheet - FY'!F60</f>
        <v>0</v>
      </c>
      <c r="S60" s="44">
        <v>0</v>
      </c>
      <c r="T60" s="44">
        <v>0</v>
      </c>
      <c r="U60" s="44">
        <v>0</v>
      </c>
      <c r="V60" s="48">
        <f>'Balance Sheet - FY'!G60</f>
        <v>0</v>
      </c>
      <c r="W60" s="44">
        <v>0</v>
      </c>
      <c r="X60" s="44">
        <v>0</v>
      </c>
      <c r="Y60" s="44">
        <v>0</v>
      </c>
      <c r="Z60" s="48">
        <f>'Balance Sheet - FY'!H60</f>
        <v>0</v>
      </c>
      <c r="AA60" s="44">
        <v>0</v>
      </c>
      <c r="AB60" s="44">
        <v>0</v>
      </c>
      <c r="AC60" s="44">
        <v>0</v>
      </c>
      <c r="AD60" s="48">
        <f>+'Balance Sheet - FY'!I60</f>
        <v>0</v>
      </c>
      <c r="AE60" s="44">
        <v>0</v>
      </c>
      <c r="AF60" s="44">
        <v>0</v>
      </c>
      <c r="AG60" s="44">
        <v>0</v>
      </c>
      <c r="AH60" s="48">
        <f>'Balance Sheet - FY'!J60</f>
        <v>0</v>
      </c>
      <c r="AI60" s="44">
        <v>0</v>
      </c>
      <c r="AJ60" s="44">
        <v>0</v>
      </c>
      <c r="AK60" s="44">
        <v>0</v>
      </c>
      <c r="AL60" s="48">
        <f>'Balance Sheet - FY'!K60</f>
        <v>0</v>
      </c>
    </row>
    <row r="61" spans="1:38" hidden="1" outlineLevel="1">
      <c r="A61" s="40" t="s">
        <v>57</v>
      </c>
      <c r="B61" s="12"/>
      <c r="C61" s="51">
        <f t="shared" ref="C61:I61" si="149">IFERROR(C59+C60,"n.a.")</f>
        <v>0</v>
      </c>
      <c r="D61" s="51">
        <f t="shared" si="149"/>
        <v>0</v>
      </c>
      <c r="E61" s="51">
        <f t="shared" si="149"/>
        <v>0</v>
      </c>
      <c r="F61" s="51">
        <f t="shared" si="149"/>
        <v>0.84799999999999998</v>
      </c>
      <c r="G61" s="51">
        <f t="shared" si="149"/>
        <v>0.61499999999999999</v>
      </c>
      <c r="H61" s="51">
        <f t="shared" si="149"/>
        <v>9.5370000000000008</v>
      </c>
      <c r="I61" s="51">
        <f t="shared" si="149"/>
        <v>9.3330000000000002</v>
      </c>
      <c r="J61" s="51">
        <f t="shared" ref="J61:AD61" si="150">IFERROR(J59+J60,"n.a.")</f>
        <v>20.134</v>
      </c>
      <c r="K61" s="51">
        <f t="shared" si="150"/>
        <v>36.637</v>
      </c>
      <c r="L61" s="51">
        <f t="shared" si="150"/>
        <v>17.63</v>
      </c>
      <c r="M61" s="51">
        <f t="shared" si="150"/>
        <v>93.658000000000001</v>
      </c>
      <c r="N61" s="51">
        <f t="shared" si="150"/>
        <v>52.515000000000001</v>
      </c>
      <c r="O61" s="51">
        <f t="shared" si="150"/>
        <v>90.433999999999997</v>
      </c>
      <c r="P61" s="51">
        <f t="shared" si="150"/>
        <v>57.061</v>
      </c>
      <c r="Q61" s="51">
        <f t="shared" si="150"/>
        <v>1.788</v>
      </c>
      <c r="R61" s="51">
        <f t="shared" si="150"/>
        <v>0</v>
      </c>
      <c r="S61" s="51">
        <f t="shared" si="150"/>
        <v>0</v>
      </c>
      <c r="T61" s="51">
        <f t="shared" si="150"/>
        <v>0</v>
      </c>
      <c r="U61" s="51">
        <f t="shared" si="150"/>
        <v>0.64200000000000002</v>
      </c>
      <c r="V61" s="51">
        <f t="shared" si="150"/>
        <v>4.6120000000000001</v>
      </c>
      <c r="W61" s="51">
        <f t="shared" si="150"/>
        <v>0.46800000000000003</v>
      </c>
      <c r="X61" s="51">
        <f t="shared" si="150"/>
        <v>1.7629999999999999</v>
      </c>
      <c r="Y61" s="51">
        <f t="shared" si="150"/>
        <v>22.9</v>
      </c>
      <c r="Z61" s="51">
        <f t="shared" si="150"/>
        <v>26.430126000000001</v>
      </c>
      <c r="AA61" s="51">
        <f t="shared" si="150"/>
        <v>24.579000000000001</v>
      </c>
      <c r="AB61" s="51">
        <f t="shared" si="150"/>
        <v>27.798999999999999</v>
      </c>
      <c r="AC61" s="51">
        <f t="shared" si="150"/>
        <v>25.155898000000001</v>
      </c>
      <c r="AD61" s="51">
        <f t="shared" si="150"/>
        <v>12.885952</v>
      </c>
      <c r="AE61" s="51">
        <f t="shared" ref="AE61:AG61" si="151">IFERROR(AE59+AE60,"n.a.")</f>
        <v>15.592737999999999</v>
      </c>
      <c r="AF61" s="51">
        <f t="shared" si="151"/>
        <v>14.6</v>
      </c>
      <c r="AG61" s="51">
        <f t="shared" si="151"/>
        <v>6.4189999999999996</v>
      </c>
      <c r="AH61" s="51">
        <f>'Balance Sheet - FY'!J61</f>
        <v>4.3257240000000001</v>
      </c>
      <c r="AI61" s="51">
        <v>0</v>
      </c>
      <c r="AJ61" s="51">
        <f t="shared" ref="AJ61:AK61" si="152">IFERROR(AJ59+AJ60,"n.a.")</f>
        <v>0</v>
      </c>
      <c r="AK61" s="51">
        <f t="shared" si="152"/>
        <v>0</v>
      </c>
      <c r="AL61" s="51">
        <f t="shared" ref="AL61" si="153">IFERROR(AL59+AL60,"n.a.")</f>
        <v>0</v>
      </c>
    </row>
    <row r="62" spans="1:38" hidden="1" outlineLevel="1">
      <c r="A62" s="40" t="s">
        <v>252</v>
      </c>
      <c r="B62" s="12"/>
      <c r="C62" s="44">
        <v>0</v>
      </c>
      <c r="D62" s="44">
        <v>0</v>
      </c>
      <c r="E62" s="44">
        <v>0</v>
      </c>
      <c r="F62" s="48">
        <f>'Balance Sheet - FY'!C62</f>
        <v>0</v>
      </c>
      <c r="G62" s="44">
        <v>0</v>
      </c>
      <c r="H62" s="44">
        <v>0</v>
      </c>
      <c r="I62" s="44">
        <v>0</v>
      </c>
      <c r="J62" s="48">
        <f>'Balance Sheet - FY'!D62</f>
        <v>0</v>
      </c>
      <c r="K62" s="44">
        <v>0</v>
      </c>
      <c r="L62" s="44">
        <v>0</v>
      </c>
      <c r="M62" s="44">
        <v>0</v>
      </c>
      <c r="N62" s="48">
        <f>'Balance Sheet - FY'!E62</f>
        <v>57.829000000000001</v>
      </c>
      <c r="O62" s="44">
        <v>0</v>
      </c>
      <c r="P62" s="44">
        <v>0</v>
      </c>
      <c r="Q62" s="44">
        <v>0</v>
      </c>
      <c r="R62" s="48">
        <f>'Balance Sheet - FY'!F62</f>
        <v>80.421999999999997</v>
      </c>
      <c r="S62" s="44">
        <v>96.754000000000005</v>
      </c>
      <c r="T62" s="44">
        <v>158.779</v>
      </c>
      <c r="U62" s="44">
        <v>166.13200000000001</v>
      </c>
      <c r="V62" s="48">
        <f>'Balance Sheet - FY'!G62</f>
        <v>153.20500000000001</v>
      </c>
      <c r="W62" s="44">
        <v>160.22300000000001</v>
      </c>
      <c r="X62" s="44">
        <v>190.04400000000001</v>
      </c>
      <c r="Y62" s="44">
        <v>188.7</v>
      </c>
      <c r="Z62" s="48">
        <f>'Balance Sheet - FY'!H62</f>
        <v>120.4808</v>
      </c>
      <c r="AA62" s="44">
        <v>126.3</v>
      </c>
      <c r="AB62" s="44">
        <v>84.61</v>
      </c>
      <c r="AC62" s="44">
        <v>89.968643</v>
      </c>
      <c r="AD62" s="48">
        <f>+'Balance Sheet - FY'!I62</f>
        <v>115.89430400000001</v>
      </c>
      <c r="AE62" s="44">
        <v>123.669877</v>
      </c>
      <c r="AF62" s="44">
        <v>112.54537300000001</v>
      </c>
      <c r="AG62" s="44">
        <v>114.994225</v>
      </c>
      <c r="AH62" s="48">
        <f>'Balance Sheet - FY'!J62</f>
        <v>93.838308999999995</v>
      </c>
      <c r="AI62" s="44">
        <v>94.31053</v>
      </c>
      <c r="AJ62" s="44">
        <v>92.196004000000002</v>
      </c>
      <c r="AK62" s="44">
        <v>91.844437999999997</v>
      </c>
      <c r="AL62" s="48">
        <f>'Balance Sheet - FY'!K62</f>
        <v>85.048357999999993</v>
      </c>
    </row>
    <row r="63" spans="1:38" s="14" customFormat="1" ht="13" collapsed="1">
      <c r="A63" s="57" t="s">
        <v>54</v>
      </c>
      <c r="B63" s="53"/>
      <c r="C63" s="54">
        <f t="shared" ref="C63:R63" si="154">IFERROR(C47+C48+C50+C51+C52+C53+C54+C57+C58+C61+C62,"n.a.")</f>
        <v>9562.2920000000013</v>
      </c>
      <c r="D63" s="54">
        <f t="shared" si="154"/>
        <v>9527.5419999999976</v>
      </c>
      <c r="E63" s="54">
        <f t="shared" si="154"/>
        <v>9585.0829999999987</v>
      </c>
      <c r="F63" s="54">
        <f t="shared" si="154"/>
        <v>9464.766999999998</v>
      </c>
      <c r="G63" s="54">
        <f t="shared" si="154"/>
        <v>9297.2240000000002</v>
      </c>
      <c r="H63" s="54">
        <f t="shared" si="154"/>
        <v>9190.1080000000002</v>
      </c>
      <c r="I63" s="54">
        <f t="shared" si="154"/>
        <v>9168.8948969658886</v>
      </c>
      <c r="J63" s="54">
        <f t="shared" si="154"/>
        <v>9353.8790000000008</v>
      </c>
      <c r="K63" s="54">
        <f t="shared" si="154"/>
        <v>9867.7109999999993</v>
      </c>
      <c r="L63" s="54">
        <f t="shared" si="154"/>
        <v>9979.0910000000003</v>
      </c>
      <c r="M63" s="54">
        <f t="shared" si="154"/>
        <v>9952.4530000000013</v>
      </c>
      <c r="N63" s="54">
        <f t="shared" si="154"/>
        <v>10012.866</v>
      </c>
      <c r="O63" s="54">
        <f t="shared" si="154"/>
        <v>9804.1029999999992</v>
      </c>
      <c r="P63" s="54">
        <f t="shared" si="154"/>
        <v>9670.2769999999982</v>
      </c>
      <c r="Q63" s="54">
        <f t="shared" si="154"/>
        <v>9430.4620000000032</v>
      </c>
      <c r="R63" s="54">
        <f t="shared" si="154"/>
        <v>9453.8169999999991</v>
      </c>
      <c r="S63" s="54">
        <f t="shared" ref="S63:X63" si="155">IFERROR(S47+S48+S50+S51+S52+S53+S54+S57+S58+S61+S62,"n.a.")</f>
        <v>9481.6519999999982</v>
      </c>
      <c r="T63" s="54">
        <f t="shared" si="155"/>
        <v>9591.1040000000012</v>
      </c>
      <c r="U63" s="54">
        <f t="shared" si="155"/>
        <v>9503.4580000000005</v>
      </c>
      <c r="V63" s="54">
        <f t="shared" si="155"/>
        <v>9598.3399999999983</v>
      </c>
      <c r="W63" s="54">
        <f>IFERROR(W47+W48+W50+W51+W52+W53+W54+W57+W58+W61+W62,"n.a.")</f>
        <v>9652.4009999999998</v>
      </c>
      <c r="X63" s="54">
        <f t="shared" si="155"/>
        <v>9807.0659880000003</v>
      </c>
      <c r="Y63" s="54">
        <f t="shared" ref="Y63:AD63" si="156">IFERROR(Y47+Y48+Y50+Y51+Y52+Y53+Y54+Y57+Y58+Y61+Y62,"n.a.")</f>
        <v>9852.5</v>
      </c>
      <c r="Z63" s="54">
        <f t="shared" si="156"/>
        <v>9475.2125500000002</v>
      </c>
      <c r="AA63" s="54">
        <f t="shared" si="156"/>
        <v>9421.4490000000005</v>
      </c>
      <c r="AB63" s="54">
        <f t="shared" si="156"/>
        <v>9379.6240000000016</v>
      </c>
      <c r="AC63" s="54">
        <f t="shared" si="156"/>
        <v>9380.0810770000007</v>
      </c>
      <c r="AD63" s="54">
        <f t="shared" si="156"/>
        <v>9563.7074519999987</v>
      </c>
      <c r="AE63" s="54">
        <f t="shared" ref="AE63:AG63" si="157">IFERROR(AE47+AE48+AE50+AE51+AE52+AE53+AE54+AE57+AE58+AE61+AE62,"n.a.")</f>
        <v>9568.970632999999</v>
      </c>
      <c r="AF63" s="54">
        <f t="shared" si="157"/>
        <v>9438.018446</v>
      </c>
      <c r="AG63" s="54">
        <f t="shared" si="157"/>
        <v>9343.976907000002</v>
      </c>
      <c r="AH63" s="54">
        <f>'Balance Sheet - FY'!J63</f>
        <v>9417.9703310000004</v>
      </c>
      <c r="AI63" s="54">
        <f t="shared" ref="AI63:AJ63" si="158">IFERROR(AI47+AI48+AI50+AI51+AI52+AI53+AI54+AI57+AI58+AI61+AI62,"n.a.")</f>
        <v>9382.8309169999993</v>
      </c>
      <c r="AJ63" s="54">
        <f t="shared" si="158"/>
        <v>9206.4693969999989</v>
      </c>
      <c r="AK63" s="54">
        <f t="shared" ref="AK63:AL63" si="159">IFERROR(AK47+AK48+AK50+AK51+AK52+AK53+AK54+AK57+AK58+AK61+AK62,"n.a.")</f>
        <v>9213.3080070000015</v>
      </c>
      <c r="AL63" s="54">
        <f t="shared" si="159"/>
        <v>9218.524386000001</v>
      </c>
    </row>
    <row r="64" spans="1:38" hidden="1" outlineLevel="1">
      <c r="A64" s="40" t="s">
        <v>37</v>
      </c>
      <c r="B64" s="12"/>
      <c r="C64" s="44">
        <v>925.51599999999996</v>
      </c>
      <c r="D64" s="44">
        <v>937.12900000000002</v>
      </c>
      <c r="E64" s="44">
        <v>969.26800000000003</v>
      </c>
      <c r="F64" s="48">
        <f>'Balance Sheet - FY'!C64</f>
        <v>940.66800000000001</v>
      </c>
      <c r="G64" s="44">
        <v>940.22</v>
      </c>
      <c r="H64" s="44">
        <v>983.25099999999998</v>
      </c>
      <c r="I64" s="44">
        <v>1048.921</v>
      </c>
      <c r="J64" s="48">
        <f>'Balance Sheet - FY'!D64</f>
        <v>1128.4659999999999</v>
      </c>
      <c r="K64" s="44">
        <v>1165.5119999999999</v>
      </c>
      <c r="L64" s="44">
        <v>1165.116</v>
      </c>
      <c r="M64" s="44">
        <v>1103.5440000000001</v>
      </c>
      <c r="N64" s="48">
        <f>'Balance Sheet - FY'!E64</f>
        <v>1093.7539999999999</v>
      </c>
      <c r="O64" s="44">
        <v>1137.383</v>
      </c>
      <c r="P64" s="44">
        <v>961.50699999999995</v>
      </c>
      <c r="Q64" s="44">
        <v>824.68499999999995</v>
      </c>
      <c r="R64" s="48">
        <f>'Balance Sheet - FY'!F64</f>
        <v>836.43700000000001</v>
      </c>
      <c r="S64" s="44">
        <v>874.45399999999995</v>
      </c>
      <c r="T64" s="44">
        <v>956.49400000000003</v>
      </c>
      <c r="U64" s="44">
        <v>973.67200000000003</v>
      </c>
      <c r="V64" s="48">
        <f>'Balance Sheet - FY'!G64</f>
        <v>1092.162</v>
      </c>
      <c r="W64" s="44">
        <v>1221.758</v>
      </c>
      <c r="X64" s="44">
        <v>1396.788</v>
      </c>
      <c r="Y64" s="44">
        <v>1464.3330000000001</v>
      </c>
      <c r="Z64" s="48">
        <f>'Balance Sheet - FY'!H64</f>
        <v>1457.7108149999999</v>
      </c>
      <c r="AA64" s="44">
        <v>1458.4</v>
      </c>
      <c r="AB64" s="44">
        <v>1418.7149999999999</v>
      </c>
      <c r="AC64" s="44">
        <v>1376.2783529999999</v>
      </c>
      <c r="AD64" s="48">
        <f>+'Balance Sheet - FY'!I64</f>
        <v>1371.4363840000001</v>
      </c>
      <c r="AE64" s="44">
        <v>1420.3139759999999</v>
      </c>
      <c r="AF64" s="44">
        <v>1417.668574</v>
      </c>
      <c r="AG64" s="44">
        <v>1342.7</v>
      </c>
      <c r="AH64" s="48">
        <f>'Balance Sheet - FY'!J64</f>
        <v>1467.7068570000001</v>
      </c>
      <c r="AI64" s="44">
        <v>1503.312666</v>
      </c>
      <c r="AJ64" s="44">
        <v>1445.5461539999999</v>
      </c>
      <c r="AK64" s="44">
        <v>1405.285345</v>
      </c>
      <c r="AL64" s="48">
        <f>'Balance Sheet - FY'!K64</f>
        <v>1455.546118</v>
      </c>
    </row>
    <row r="65" spans="1:38" hidden="1" outlineLevel="1">
      <c r="A65" s="40" t="s">
        <v>38</v>
      </c>
      <c r="B65" s="12"/>
      <c r="C65" s="44">
        <v>1044.807</v>
      </c>
      <c r="D65" s="44">
        <v>968.36400000000003</v>
      </c>
      <c r="E65" s="44">
        <v>1037.415</v>
      </c>
      <c r="F65" s="48">
        <f>'Balance Sheet - FY'!C65</f>
        <v>652.48699999999997</v>
      </c>
      <c r="G65" s="44">
        <v>875.88499999999999</v>
      </c>
      <c r="H65" s="44">
        <v>864.43499999999995</v>
      </c>
      <c r="I65" s="44">
        <v>967.745</v>
      </c>
      <c r="J65" s="48">
        <f>'Balance Sheet - FY'!D65</f>
        <v>627.96799999999996</v>
      </c>
      <c r="K65" s="44">
        <v>858.44200000000001</v>
      </c>
      <c r="L65" s="44">
        <v>862.12</v>
      </c>
      <c r="M65" s="44">
        <v>976.17700000000002</v>
      </c>
      <c r="N65" s="48">
        <f>'Balance Sheet - FY'!E65</f>
        <v>649.39400000000001</v>
      </c>
      <c r="O65" s="44">
        <v>658.67100000000005</v>
      </c>
      <c r="P65" s="44">
        <v>627.89200000000005</v>
      </c>
      <c r="Q65" s="44">
        <v>949.07</v>
      </c>
      <c r="R65" s="48">
        <f>'Balance Sheet - FY'!F65</f>
        <v>597.66899999999998</v>
      </c>
      <c r="S65" s="44">
        <v>814.09699999999998</v>
      </c>
      <c r="T65" s="44">
        <v>802.47199999999998</v>
      </c>
      <c r="U65" s="44">
        <v>939.37599999999998</v>
      </c>
      <c r="V65" s="48">
        <f>'Balance Sheet - FY'!G65</f>
        <v>659.20899999999995</v>
      </c>
      <c r="W65" s="44">
        <v>908.04600000000005</v>
      </c>
      <c r="X65" s="44">
        <v>936.35599999999999</v>
      </c>
      <c r="Y65" s="44">
        <v>1169.0440000000001</v>
      </c>
      <c r="Z65" s="48">
        <f>'Balance Sheet - FY'!H65</f>
        <v>636.45100000000002</v>
      </c>
      <c r="AA65" s="44">
        <v>928.5</v>
      </c>
      <c r="AB65" s="44">
        <v>895.101</v>
      </c>
      <c r="AC65" s="44">
        <v>1092.726737</v>
      </c>
      <c r="AD65" s="48">
        <f>+'Balance Sheet - FY'!I65</f>
        <v>649.40598499999999</v>
      </c>
      <c r="AE65" s="44">
        <v>939.7643710000001</v>
      </c>
      <c r="AF65" s="44">
        <v>937.33480000000009</v>
      </c>
      <c r="AG65" s="44">
        <v>1031.9618849999999</v>
      </c>
      <c r="AH65" s="48">
        <f>'Balance Sheet - FY'!J65</f>
        <v>622.91501800000003</v>
      </c>
      <c r="AI65" s="44">
        <v>1001.219512</v>
      </c>
      <c r="AJ65" s="44">
        <v>896.49468999999999</v>
      </c>
      <c r="AK65" s="44">
        <v>997.30189500000006</v>
      </c>
      <c r="AL65" s="48">
        <f>'Balance Sheet - FY'!K65</f>
        <v>628.54797599999995</v>
      </c>
    </row>
    <row r="66" spans="1:38" hidden="1" outlineLevel="2">
      <c r="A66" s="55" t="s">
        <v>104</v>
      </c>
      <c r="B66" s="12"/>
      <c r="C66" s="44">
        <v>17.489999999999998</v>
      </c>
      <c r="D66" s="44">
        <v>9.673</v>
      </c>
      <c r="E66" s="44">
        <v>18.959</v>
      </c>
      <c r="F66" s="48">
        <f>'Balance Sheet - FY'!C66</f>
        <v>36.511000000000003</v>
      </c>
      <c r="G66" s="44">
        <v>29.439</v>
      </c>
      <c r="H66" s="44">
        <v>28.167000000000002</v>
      </c>
      <c r="I66" s="44">
        <v>28.044</v>
      </c>
      <c r="J66" s="48">
        <f>'Balance Sheet - FY'!D66</f>
        <v>27.32</v>
      </c>
      <c r="K66" s="44">
        <v>21.93</v>
      </c>
      <c r="L66" s="44">
        <v>35.613999999999997</v>
      </c>
      <c r="M66" s="44">
        <v>40.499000000000002</v>
      </c>
      <c r="N66" s="48">
        <f>'Balance Sheet - FY'!E66</f>
        <v>35.503</v>
      </c>
      <c r="O66" s="44">
        <v>42.985999999999997</v>
      </c>
      <c r="P66" s="44">
        <v>44.8</v>
      </c>
      <c r="Q66" s="44">
        <v>68.192999999999998</v>
      </c>
      <c r="R66" s="48">
        <f>'Balance Sheet - FY'!F66</f>
        <v>102.574</v>
      </c>
      <c r="S66" s="44">
        <v>89.153000000000006</v>
      </c>
      <c r="T66" s="44">
        <v>97.468000000000004</v>
      </c>
      <c r="U66" s="44">
        <v>80.465999999999994</v>
      </c>
      <c r="V66" s="48">
        <f>'Balance Sheet - FY'!G66</f>
        <v>81.819000000000003</v>
      </c>
      <c r="W66" s="44">
        <v>103.63500000000001</v>
      </c>
      <c r="X66" s="44">
        <v>111.751</v>
      </c>
      <c r="Y66" s="44">
        <v>119.2</v>
      </c>
      <c r="Z66" s="48">
        <f>'Balance Sheet - FY'!H66</f>
        <v>270.91699999999997</v>
      </c>
      <c r="AA66" s="44">
        <v>93.62</v>
      </c>
      <c r="AB66" s="44">
        <v>89.98</v>
      </c>
      <c r="AC66" s="44">
        <v>99.108000000000004</v>
      </c>
      <c r="AD66" s="48">
        <f>+'Balance Sheet - FY'!I66</f>
        <v>106.06</v>
      </c>
      <c r="AE66" s="165">
        <v>104.381</v>
      </c>
      <c r="AF66" s="44">
        <f>129.075-1.228</f>
        <v>127.84699999999999</v>
      </c>
      <c r="AG66" s="44">
        <f>123.582-0.061</f>
        <v>123.52099999999999</v>
      </c>
      <c r="AH66" s="48">
        <f>'Balance Sheet - FY'!J66</f>
        <v>113.298</v>
      </c>
      <c r="AI66" s="44">
        <v>103.291</v>
      </c>
      <c r="AJ66" s="44">
        <f>118.333-8.056</f>
        <v>110.277</v>
      </c>
      <c r="AK66" s="44">
        <f>121.711-8.75+0.4</f>
        <v>113.361</v>
      </c>
      <c r="AL66" s="48">
        <f>'Balance Sheet - FY'!K66</f>
        <v>128.81300000000002</v>
      </c>
    </row>
    <row r="67" spans="1:38" hidden="1" outlineLevel="2">
      <c r="A67" s="55" t="s">
        <v>105</v>
      </c>
      <c r="B67" s="12"/>
      <c r="C67" s="44">
        <v>451.19900000000001</v>
      </c>
      <c r="D67" s="44">
        <v>342.74900000000002</v>
      </c>
      <c r="E67" s="44">
        <v>344.8</v>
      </c>
      <c r="F67" s="48">
        <f>'Balance Sheet - FY'!C67</f>
        <v>364.02799999999996</v>
      </c>
      <c r="G67" s="44">
        <v>427.75899999999996</v>
      </c>
      <c r="H67" s="44">
        <v>388.89700000000005</v>
      </c>
      <c r="I67" s="44">
        <v>396.31900000000002</v>
      </c>
      <c r="J67" s="48">
        <f>'Balance Sheet - FY'!D67</f>
        <v>389.33100000000002</v>
      </c>
      <c r="K67" s="44">
        <v>460.41500000000002</v>
      </c>
      <c r="L67" s="44">
        <v>473.37800000000004</v>
      </c>
      <c r="M67" s="44">
        <v>475.14600000000002</v>
      </c>
      <c r="N67" s="48">
        <f>'Balance Sheet - FY'!E67</f>
        <v>416.35500000000002</v>
      </c>
      <c r="O67" s="44">
        <v>459.94</v>
      </c>
      <c r="P67" s="44">
        <v>435.22800000000001</v>
      </c>
      <c r="Q67" s="44">
        <v>387.51400000000001</v>
      </c>
      <c r="R67" s="48">
        <f>'Balance Sheet - FY'!F67</f>
        <v>366.62</v>
      </c>
      <c r="S67" s="44">
        <v>402.11499999999995</v>
      </c>
      <c r="T67" s="44">
        <v>465.33499999999998</v>
      </c>
      <c r="U67" s="44">
        <v>400.38299999999998</v>
      </c>
      <c r="V67" s="48">
        <f>'Balance Sheet - FY'!G67</f>
        <v>388.75799999999998</v>
      </c>
      <c r="W67" s="44">
        <v>491.39200000000005</v>
      </c>
      <c r="X67" s="44">
        <v>415.82100000000003</v>
      </c>
      <c r="Y67" s="44">
        <v>448.9</v>
      </c>
      <c r="Z67" s="48">
        <f>'Balance Sheet - FY'!H67</f>
        <v>470.3</v>
      </c>
      <c r="AA67" s="44">
        <f>595.96-AA66</f>
        <v>502.34000000000003</v>
      </c>
      <c r="AB67" s="44">
        <v>521.39</v>
      </c>
      <c r="AC67" s="44">
        <f>561.651-AC66</f>
        <v>462.54299999999995</v>
      </c>
      <c r="AD67" s="48">
        <f>+'Balance Sheet - FY'!I67</f>
        <v>313.18948599999999</v>
      </c>
      <c r="AE67" s="165">
        <f>468.038554-AE66</f>
        <v>363.657554</v>
      </c>
      <c r="AF67" s="44">
        <v>357.09999999999997</v>
      </c>
      <c r="AG67" s="44">
        <f>406.922-AG66</f>
        <v>283.40100000000007</v>
      </c>
      <c r="AH67" s="48">
        <f>'Balance Sheet - FY'!J67</f>
        <v>330.71190999999999</v>
      </c>
      <c r="AI67" s="44">
        <v>319.65100000000001</v>
      </c>
      <c r="AJ67" s="44">
        <f>392.818-AJ66</f>
        <v>282.541</v>
      </c>
      <c r="AK67" s="44">
        <f>389.718-AK66</f>
        <v>276.35700000000003</v>
      </c>
      <c r="AL67" s="48">
        <f>'Balance Sheet - FY'!K67</f>
        <v>255.32599999999999</v>
      </c>
    </row>
    <row r="68" spans="1:38" hidden="1" outlineLevel="1">
      <c r="A68" s="40" t="s">
        <v>52</v>
      </c>
      <c r="B68" s="12"/>
      <c r="C68" s="51">
        <f t="shared" ref="C68:I68" si="160">IFERROR(C66+C67,"n.a.")</f>
        <v>468.68900000000002</v>
      </c>
      <c r="D68" s="51">
        <f t="shared" si="160"/>
        <v>352.42200000000003</v>
      </c>
      <c r="E68" s="51">
        <f t="shared" si="160"/>
        <v>363.75900000000001</v>
      </c>
      <c r="F68" s="51">
        <f t="shared" si="160"/>
        <v>400.53899999999999</v>
      </c>
      <c r="G68" s="51">
        <f t="shared" si="160"/>
        <v>457.19799999999998</v>
      </c>
      <c r="H68" s="51">
        <f t="shared" si="160"/>
        <v>417.06400000000008</v>
      </c>
      <c r="I68" s="51">
        <f t="shared" si="160"/>
        <v>424.363</v>
      </c>
      <c r="J68" s="51">
        <f t="shared" ref="J68:AD68" si="161">IFERROR(J66+J67,"n.a.")</f>
        <v>416.65100000000001</v>
      </c>
      <c r="K68" s="51">
        <f t="shared" si="161"/>
        <v>482.34500000000003</v>
      </c>
      <c r="L68" s="51">
        <f t="shared" si="161"/>
        <v>508.99200000000002</v>
      </c>
      <c r="M68" s="51">
        <f t="shared" si="161"/>
        <v>515.64499999999998</v>
      </c>
      <c r="N68" s="51">
        <f t="shared" si="161"/>
        <v>451.858</v>
      </c>
      <c r="O68" s="51">
        <f t="shared" si="161"/>
        <v>502.92599999999999</v>
      </c>
      <c r="P68" s="51">
        <f t="shared" si="161"/>
        <v>480.02800000000002</v>
      </c>
      <c r="Q68" s="51">
        <f t="shared" si="161"/>
        <v>455.70699999999999</v>
      </c>
      <c r="R68" s="51">
        <f t="shared" si="161"/>
        <v>469.19400000000002</v>
      </c>
      <c r="S68" s="51">
        <f t="shared" si="161"/>
        <v>491.26799999999997</v>
      </c>
      <c r="T68" s="51">
        <f t="shared" si="161"/>
        <v>562.803</v>
      </c>
      <c r="U68" s="51">
        <f t="shared" si="161"/>
        <v>480.84899999999999</v>
      </c>
      <c r="V68" s="51">
        <f t="shared" si="161"/>
        <v>470.577</v>
      </c>
      <c r="W68" s="51">
        <f t="shared" si="161"/>
        <v>595.02700000000004</v>
      </c>
      <c r="X68" s="51">
        <f t="shared" si="161"/>
        <v>527.572</v>
      </c>
      <c r="Y68" s="51">
        <f t="shared" si="161"/>
        <v>568.1</v>
      </c>
      <c r="Z68" s="51">
        <f t="shared" si="161"/>
        <v>741.21699999999998</v>
      </c>
      <c r="AA68" s="51">
        <f t="shared" si="161"/>
        <v>595.96</v>
      </c>
      <c r="AB68" s="51">
        <f t="shared" si="161"/>
        <v>611.37</v>
      </c>
      <c r="AC68" s="51">
        <f t="shared" si="161"/>
        <v>561.65099999999995</v>
      </c>
      <c r="AD68" s="51">
        <f t="shared" si="161"/>
        <v>419.24948599999999</v>
      </c>
      <c r="AE68" s="51">
        <f t="shared" ref="AE68:AH68" si="162">IFERROR(AE66+AE67,"n.a.")</f>
        <v>468.03855399999998</v>
      </c>
      <c r="AF68" s="51">
        <f t="shared" si="162"/>
        <v>484.94699999999995</v>
      </c>
      <c r="AG68" s="51">
        <f t="shared" si="162"/>
        <v>406.92200000000003</v>
      </c>
      <c r="AH68" s="51">
        <f t="shared" si="162"/>
        <v>444.00990999999999</v>
      </c>
      <c r="AI68" s="51">
        <v>422.94246100000004</v>
      </c>
      <c r="AJ68" s="51">
        <f t="shared" ref="AJ68:AK68" si="163">IFERROR(AJ66+AJ67,"n.a.")</f>
        <v>392.81799999999998</v>
      </c>
      <c r="AK68" s="51">
        <f t="shared" si="163"/>
        <v>389.71800000000002</v>
      </c>
      <c r="AL68" s="51">
        <f t="shared" ref="AL68" si="164">IFERROR(AL66+AL67,"n.a.")</f>
        <v>384.13900000000001</v>
      </c>
    </row>
    <row r="69" spans="1:38" hidden="1" outlineLevel="1">
      <c r="A69" s="40" t="s">
        <v>174</v>
      </c>
      <c r="B69" s="12"/>
      <c r="C69" s="24">
        <v>0</v>
      </c>
      <c r="D69" s="24">
        <v>0</v>
      </c>
      <c r="E69" s="24">
        <v>0</v>
      </c>
      <c r="F69" s="48">
        <f>'Balance Sheet - FY'!C69</f>
        <v>0</v>
      </c>
      <c r="G69" s="24">
        <v>9.0850000000000009</v>
      </c>
      <c r="H69" s="24">
        <v>9.298</v>
      </c>
      <c r="I69" s="24">
        <v>20.306000000000001</v>
      </c>
      <c r="J69" s="48">
        <f>'Balance Sheet - FY'!D69</f>
        <v>27.196000000000002</v>
      </c>
      <c r="K69" s="24">
        <v>8.5009999999999994</v>
      </c>
      <c r="L69" s="24">
        <v>12.792</v>
      </c>
      <c r="M69" s="24">
        <v>14.725</v>
      </c>
      <c r="N69" s="48">
        <f>'Balance Sheet - FY'!E69</f>
        <v>38.119</v>
      </c>
      <c r="O69" s="44">
        <v>12.002000000000001</v>
      </c>
      <c r="P69" s="44">
        <v>18.878</v>
      </c>
      <c r="Q69" s="44">
        <v>34.21</v>
      </c>
      <c r="R69" s="48">
        <f>'Balance Sheet - FY'!F69</f>
        <v>58.944000000000003</v>
      </c>
      <c r="S69" s="44">
        <v>44.197000000000003</v>
      </c>
      <c r="T69" s="44">
        <v>47.978999999999999</v>
      </c>
      <c r="U69" s="44">
        <v>69.366</v>
      </c>
      <c r="V69" s="48">
        <f>'Balance Sheet - FY'!G69</f>
        <v>113.901</v>
      </c>
      <c r="W69" s="44">
        <v>97.793000000000006</v>
      </c>
      <c r="X69" s="44">
        <v>138.72800000000001</v>
      </c>
      <c r="Y69" s="44">
        <v>215.1</v>
      </c>
      <c r="Z69" s="48">
        <f>'Balance Sheet - FY'!H69</f>
        <v>246.883712</v>
      </c>
      <c r="AA69" s="44">
        <v>190.8</v>
      </c>
      <c r="AB69" s="44">
        <v>220.70500000000001</v>
      </c>
      <c r="AC69" s="44">
        <v>255.82747700000002</v>
      </c>
      <c r="AD69" s="48">
        <f>+'Balance Sheet - FY'!I69</f>
        <v>228.75882000000001</v>
      </c>
      <c r="AE69" s="44">
        <v>159.614688</v>
      </c>
      <c r="AF69" s="44">
        <v>174.50914699999998</v>
      </c>
      <c r="AG69" s="44">
        <v>172.47147799999999</v>
      </c>
      <c r="AH69" s="48">
        <f>'Balance Sheet - FY'!J69</f>
        <v>165.96524400000001</v>
      </c>
      <c r="AI69" s="44">
        <v>123.17821099999999</v>
      </c>
      <c r="AJ69" s="44">
        <v>80.629506000000006</v>
      </c>
      <c r="AK69" s="44">
        <v>73.254326000000006</v>
      </c>
      <c r="AL69" s="48">
        <f>'Balance Sheet - FY'!K69</f>
        <v>79.904308999999998</v>
      </c>
    </row>
    <row r="70" spans="1:38" hidden="1" outlineLevel="1">
      <c r="A70" s="40" t="s">
        <v>55</v>
      </c>
      <c r="B70" s="12"/>
      <c r="C70" s="44">
        <v>24.864000000000001</v>
      </c>
      <c r="D70" s="44">
        <v>20.686</v>
      </c>
      <c r="E70" s="44">
        <v>12.945</v>
      </c>
      <c r="F70" s="48">
        <f>'Balance Sheet - FY'!C70</f>
        <v>33.027000000000001</v>
      </c>
      <c r="G70" s="44">
        <v>0</v>
      </c>
      <c r="H70" s="44">
        <v>0</v>
      </c>
      <c r="I70" s="44">
        <v>0</v>
      </c>
      <c r="J70" s="48">
        <f>'Balance Sheet - FY'!D70</f>
        <v>0</v>
      </c>
      <c r="K70" s="44">
        <v>0</v>
      </c>
      <c r="L70" s="44">
        <v>0</v>
      </c>
      <c r="M70" s="44">
        <v>0</v>
      </c>
      <c r="N70" s="48">
        <f>'Balance Sheet - FY'!E70</f>
        <v>0</v>
      </c>
      <c r="O70" s="44">
        <v>0</v>
      </c>
      <c r="P70" s="44">
        <v>0</v>
      </c>
      <c r="Q70" s="44">
        <v>0</v>
      </c>
      <c r="R70" s="48">
        <f>'Balance Sheet - FY'!F70</f>
        <v>0</v>
      </c>
      <c r="S70" s="44">
        <v>0</v>
      </c>
      <c r="T70" s="44">
        <v>0</v>
      </c>
      <c r="U70" s="44">
        <v>0</v>
      </c>
      <c r="V70" s="48">
        <f>'Balance Sheet - FY'!G70</f>
        <v>0</v>
      </c>
      <c r="W70" s="44">
        <v>0</v>
      </c>
      <c r="X70" s="44">
        <v>0</v>
      </c>
      <c r="Y70" s="44">
        <v>0</v>
      </c>
      <c r="Z70" s="48">
        <f>'Balance Sheet - FY'!H70</f>
        <v>0</v>
      </c>
      <c r="AA70" s="44">
        <v>0</v>
      </c>
      <c r="AB70" s="44">
        <v>0</v>
      </c>
      <c r="AC70" s="44">
        <v>0</v>
      </c>
      <c r="AD70" s="48">
        <f>+'Balance Sheet - FY'!I70</f>
        <v>0</v>
      </c>
      <c r="AE70" s="44">
        <v>0</v>
      </c>
      <c r="AF70" s="44">
        <v>0</v>
      </c>
      <c r="AG70" s="44">
        <v>0</v>
      </c>
      <c r="AH70" s="48">
        <f>'Balance Sheet - FY'!J70</f>
        <v>0</v>
      </c>
      <c r="AI70" s="44">
        <v>0</v>
      </c>
      <c r="AJ70" s="44">
        <v>0</v>
      </c>
      <c r="AK70" s="44">
        <v>0</v>
      </c>
      <c r="AL70" s="48">
        <f>'Balance Sheet - FY'!K70</f>
        <v>0</v>
      </c>
    </row>
    <row r="71" spans="1:38" hidden="1" outlineLevel="1">
      <c r="A71" s="40" t="s">
        <v>56</v>
      </c>
      <c r="B71" s="12"/>
      <c r="C71" s="44">
        <v>457.99200000000002</v>
      </c>
      <c r="D71" s="44">
        <v>510.47199999999998</v>
      </c>
      <c r="E71" s="44">
        <v>392.35599999999999</v>
      </c>
      <c r="F71" s="48">
        <f>'Balance Sheet - FY'!C71</f>
        <v>1118.4369999999999</v>
      </c>
      <c r="G71" s="44">
        <v>592.13499999999999</v>
      </c>
      <c r="H71" s="44">
        <v>580.64099999999996</v>
      </c>
      <c r="I71" s="44">
        <v>549.34500000000003</v>
      </c>
      <c r="J71" s="48">
        <f>'Balance Sheet - FY'!D71</f>
        <v>1326.9</v>
      </c>
      <c r="K71" s="44">
        <v>962.95699999999999</v>
      </c>
      <c r="L71" s="44">
        <v>741.76700000000005</v>
      </c>
      <c r="M71" s="44">
        <v>781.23099999999999</v>
      </c>
      <c r="N71" s="48">
        <f>'Balance Sheet - FY'!E71</f>
        <v>1609.8209999999999</v>
      </c>
      <c r="O71" s="44">
        <v>797.80899999999997</v>
      </c>
      <c r="P71" s="44">
        <v>1455.229</v>
      </c>
      <c r="Q71" s="44">
        <v>1115.557</v>
      </c>
      <c r="R71" s="48">
        <f>'Balance Sheet - FY'!F71</f>
        <v>2275.4760000000001</v>
      </c>
      <c r="S71" s="44">
        <v>711.64499999999998</v>
      </c>
      <c r="T71" s="44">
        <v>785.01499999999999</v>
      </c>
      <c r="U71" s="44">
        <v>770.54</v>
      </c>
      <c r="V71" s="48">
        <f>'Balance Sheet - FY'!G71</f>
        <v>1884.6489999999999</v>
      </c>
      <c r="W71" s="44">
        <v>842.87199999999996</v>
      </c>
      <c r="X71" s="44">
        <v>889.66399999999999</v>
      </c>
      <c r="Y71" s="44">
        <v>1317.1</v>
      </c>
      <c r="Z71" s="48">
        <f>'Balance Sheet - FY'!H71</f>
        <v>1289.7440419999998</v>
      </c>
      <c r="AA71" s="44">
        <v>1189</v>
      </c>
      <c r="AB71" s="44">
        <v>1256.02</v>
      </c>
      <c r="AC71" s="44">
        <v>665.81378300000006</v>
      </c>
      <c r="AD71" s="48">
        <f>+'Balance Sheet - FY'!I71</f>
        <v>1252.7685419999998</v>
      </c>
      <c r="AE71" s="44">
        <v>836.49686600000007</v>
      </c>
      <c r="AF71" s="44">
        <v>716.19170599999995</v>
      </c>
      <c r="AG71" s="44">
        <v>775.55094099999997</v>
      </c>
      <c r="AH71" s="48">
        <f>'Balance Sheet - FY'!J71</f>
        <v>1502.74145</v>
      </c>
      <c r="AI71" s="44">
        <v>878.52545200000009</v>
      </c>
      <c r="AJ71" s="44">
        <v>849.87429899999995</v>
      </c>
      <c r="AK71" s="44">
        <v>926.19325900000001</v>
      </c>
      <c r="AL71" s="48">
        <f>'Balance Sheet - FY'!K71</f>
        <v>1525.8859950000001</v>
      </c>
    </row>
    <row r="72" spans="1:38" hidden="1" outlineLevel="1">
      <c r="A72" s="40" t="s">
        <v>53</v>
      </c>
      <c r="B72" s="12"/>
      <c r="C72" s="44">
        <v>84.311000000000007</v>
      </c>
      <c r="D72" s="44">
        <v>66.856999999999999</v>
      </c>
      <c r="E72" s="44">
        <v>58.698999999999998</v>
      </c>
      <c r="F72" s="48">
        <f>'Balance Sheet - FY'!C72</f>
        <v>35.460999999999999</v>
      </c>
      <c r="G72" s="44">
        <v>27.72</v>
      </c>
      <c r="H72" s="44">
        <v>49.091000000000001</v>
      </c>
      <c r="I72" s="44">
        <v>58.158999999999999</v>
      </c>
      <c r="J72" s="48">
        <f>'Balance Sheet - FY'!D72</f>
        <v>41.393000000000001</v>
      </c>
      <c r="K72" s="44">
        <v>42.247999999999998</v>
      </c>
      <c r="L72" s="44">
        <v>46.389000000000003</v>
      </c>
      <c r="M72" s="44">
        <v>69.304000000000002</v>
      </c>
      <c r="N72" s="48">
        <f>'Balance Sheet - FY'!E72</f>
        <v>41.494</v>
      </c>
      <c r="O72" s="44">
        <v>37.249000000000002</v>
      </c>
      <c r="P72" s="44">
        <v>50.984000000000002</v>
      </c>
      <c r="Q72" s="44">
        <v>48.47</v>
      </c>
      <c r="R72" s="48">
        <f>'Balance Sheet - FY'!F72</f>
        <v>29.152999999999999</v>
      </c>
      <c r="S72" s="44">
        <v>31.765999999999998</v>
      </c>
      <c r="T72" s="44">
        <v>35.610999999999997</v>
      </c>
      <c r="U72" s="44">
        <v>41.494</v>
      </c>
      <c r="V72" s="48">
        <f>'Balance Sheet - FY'!G72</f>
        <v>17.773</v>
      </c>
      <c r="W72" s="44">
        <v>15.654999999999999</v>
      </c>
      <c r="X72" s="44">
        <v>15.223237999999998</v>
      </c>
      <c r="Y72" s="44">
        <v>24.6</v>
      </c>
      <c r="Z72" s="48">
        <f>'Balance Sheet - FY'!H72</f>
        <v>27.648598999999997</v>
      </c>
      <c r="AA72" s="44">
        <v>29.9</v>
      </c>
      <c r="AB72" s="44">
        <v>30.145</v>
      </c>
      <c r="AC72" s="44">
        <v>32.886095000000005</v>
      </c>
      <c r="AD72" s="48">
        <f>+'Balance Sheet - FY'!I72</f>
        <v>32.574067999999997</v>
      </c>
      <c r="AE72" s="44">
        <v>54.965361999999999</v>
      </c>
      <c r="AF72" s="44">
        <v>70.963304000000008</v>
      </c>
      <c r="AG72" s="44">
        <v>88.963369</v>
      </c>
      <c r="AH72" s="48">
        <f>'Balance Sheet - FY'!J72</f>
        <v>36.989435</v>
      </c>
      <c r="AI72" s="44">
        <v>30.167301999999999</v>
      </c>
      <c r="AJ72" s="44">
        <v>31.771198999999999</v>
      </c>
      <c r="AK72" s="44">
        <v>53.625190000000003</v>
      </c>
      <c r="AL72" s="48">
        <f>'Balance Sheet - FY'!K72</f>
        <v>35.087307000000003</v>
      </c>
    </row>
    <row r="73" spans="1:38" hidden="1" outlineLevel="2">
      <c r="A73" s="55" t="s">
        <v>102</v>
      </c>
      <c r="B73" s="12"/>
      <c r="C73" s="44">
        <v>21.526</v>
      </c>
      <c r="D73" s="44">
        <v>27.617000000000001</v>
      </c>
      <c r="E73" s="44">
        <v>19.175000000000001</v>
      </c>
      <c r="F73" s="48">
        <f>'Balance Sheet - FY'!C73</f>
        <v>21.413</v>
      </c>
      <c r="G73" s="44">
        <v>17.084</v>
      </c>
      <c r="H73" s="44">
        <v>63.634</v>
      </c>
      <c r="I73" s="44">
        <v>74.382999999999996</v>
      </c>
      <c r="J73" s="48">
        <f>'Balance Sheet - FY'!D73</f>
        <v>91.245000000000005</v>
      </c>
      <c r="K73" s="44">
        <v>79.519000000000005</v>
      </c>
      <c r="L73" s="44">
        <v>54.466999999999999</v>
      </c>
      <c r="M73" s="44">
        <v>68.061000000000007</v>
      </c>
      <c r="N73" s="48">
        <f>'Balance Sheet - FY'!E73</f>
        <v>32.090000000000003</v>
      </c>
      <c r="O73" s="44">
        <v>123.60299999999999</v>
      </c>
      <c r="P73" s="44">
        <v>47.040999999999997</v>
      </c>
      <c r="Q73" s="44">
        <v>65.477999999999994</v>
      </c>
      <c r="R73" s="48">
        <f>'Balance Sheet - FY'!F73</f>
        <v>13.339</v>
      </c>
      <c r="S73" s="44">
        <v>45.423999999999999</v>
      </c>
      <c r="T73" s="44">
        <v>27.829000000000001</v>
      </c>
      <c r="U73" s="44">
        <v>42.886000000000003</v>
      </c>
      <c r="V73" s="48">
        <f>'Balance Sheet - FY'!G73</f>
        <v>38.848999999999997</v>
      </c>
      <c r="W73" s="44">
        <v>55.610999999999997</v>
      </c>
      <c r="X73" s="44">
        <v>18.259</v>
      </c>
      <c r="Y73" s="44">
        <v>29.3</v>
      </c>
      <c r="Z73" s="48">
        <f>'Balance Sheet - FY'!H73</f>
        <v>14.223000000000001</v>
      </c>
      <c r="AA73" s="44">
        <v>6.1070000000000002</v>
      </c>
      <c r="AB73" s="44">
        <v>4.5140000000000002</v>
      </c>
      <c r="AC73" s="44">
        <v>4.6429999999999998</v>
      </c>
      <c r="AD73" s="48">
        <f>+'Balance Sheet - FY'!I73</f>
        <v>7.36</v>
      </c>
      <c r="AE73" s="165">
        <v>11.137</v>
      </c>
      <c r="AF73" s="44">
        <v>43.750999999999998</v>
      </c>
      <c r="AG73" s="44">
        <v>24.376999999999999</v>
      </c>
      <c r="AH73" s="48">
        <f>'Balance Sheet - FY'!J73</f>
        <v>16.577000000000002</v>
      </c>
      <c r="AI73" s="44">
        <v>21.373000000000001</v>
      </c>
      <c r="AJ73" s="44">
        <v>42.374000000000002</v>
      </c>
      <c r="AK73" s="44">
        <f>41.441+1.208</f>
        <v>42.649000000000001</v>
      </c>
      <c r="AL73" s="48">
        <f>'Balance Sheet - FY'!K73</f>
        <v>4.125</v>
      </c>
    </row>
    <row r="74" spans="1:38" hidden="1" outlineLevel="2">
      <c r="A74" s="55" t="s">
        <v>103</v>
      </c>
      <c r="B74" s="12"/>
      <c r="C74" s="44">
        <v>14.489999999999998</v>
      </c>
      <c r="D74" s="44">
        <v>17.59</v>
      </c>
      <c r="E74" s="44">
        <v>11.524000000000001</v>
      </c>
      <c r="F74" s="48">
        <f>'Balance Sheet - FY'!C74</f>
        <v>6.3569999999999993</v>
      </c>
      <c r="G74" s="44">
        <v>6.1960000000000015</v>
      </c>
      <c r="H74" s="44">
        <v>12.569999999999993</v>
      </c>
      <c r="I74" s="44">
        <v>7.21</v>
      </c>
      <c r="J74" s="48">
        <f>'Balance Sheet - FY'!D74</f>
        <v>7.3220000000000001</v>
      </c>
      <c r="K74" s="44">
        <v>4.9519999999999982</v>
      </c>
      <c r="L74" s="44">
        <v>4.6180000000000021</v>
      </c>
      <c r="M74" s="44">
        <v>4.7729999999999997</v>
      </c>
      <c r="N74" s="48">
        <f>'Balance Sheet - FY'!E74</f>
        <v>5.0579999999999998</v>
      </c>
      <c r="O74" s="44">
        <v>18.603999999999999</v>
      </c>
      <c r="P74" s="44">
        <v>4.6560000000000059</v>
      </c>
      <c r="Q74" s="44">
        <v>5.3640000000000043</v>
      </c>
      <c r="R74" s="48">
        <f>'Balance Sheet - FY'!F74</f>
        <v>4.5609999999999999</v>
      </c>
      <c r="S74" s="44">
        <v>4.7419999999999973</v>
      </c>
      <c r="T74" s="44">
        <v>5.0510000000000019</v>
      </c>
      <c r="U74" s="44">
        <v>4.6999999999999957</v>
      </c>
      <c r="V74" s="48">
        <f>'Balance Sheet - FY'!G74</f>
        <v>7.713000000000001</v>
      </c>
      <c r="W74" s="44">
        <f>63.337-W73</f>
        <v>7.7260000000000062</v>
      </c>
      <c r="X74" s="44">
        <f>26.056-X73</f>
        <v>7.7970000000000006</v>
      </c>
      <c r="Y74" s="44">
        <v>8.1</v>
      </c>
      <c r="Z74" s="48">
        <f>'Balance Sheet - FY'!H74</f>
        <v>8.4580000000000002</v>
      </c>
      <c r="AA74" s="44">
        <f>15.369-AA73</f>
        <v>9.2620000000000005</v>
      </c>
      <c r="AB74" s="44">
        <v>11.358000000000001</v>
      </c>
      <c r="AC74" s="44">
        <v>3.383</v>
      </c>
      <c r="AD74" s="48">
        <f>+'Balance Sheet - FY'!I74</f>
        <v>5.6672859999999998</v>
      </c>
      <c r="AE74" s="43">
        <f>17.212-AE73</f>
        <v>6.0749999999999993</v>
      </c>
      <c r="AF74" s="44">
        <f>46.458-AF73</f>
        <v>2.7070000000000007</v>
      </c>
      <c r="AG74" s="44">
        <v>3.3839999999999999</v>
      </c>
      <c r="AH74" s="48">
        <f>'Balance Sheet - FY'!J74</f>
        <v>5.7461839999999995</v>
      </c>
      <c r="AI74" s="44">
        <v>14.935999999999996</v>
      </c>
      <c r="AJ74" s="44">
        <f>64.535-AJ73</f>
        <v>22.160999999999994</v>
      </c>
      <c r="AK74" s="44">
        <f>65.453-AK73</f>
        <v>22.804000000000002</v>
      </c>
      <c r="AL74" s="48">
        <f>'Balance Sheet - FY'!K74</f>
        <v>21.423999999999999</v>
      </c>
    </row>
    <row r="75" spans="1:38" hidden="1" outlineLevel="1">
      <c r="A75" s="40" t="s">
        <v>57</v>
      </c>
      <c r="B75" s="12"/>
      <c r="C75" s="51">
        <f t="shared" ref="C75:I75" si="165">IFERROR(C73+C74,"n.a.")</f>
        <v>36.015999999999998</v>
      </c>
      <c r="D75" s="51">
        <f t="shared" si="165"/>
        <v>45.207000000000001</v>
      </c>
      <c r="E75" s="51">
        <f t="shared" si="165"/>
        <v>30.699000000000002</v>
      </c>
      <c r="F75" s="51">
        <f t="shared" si="165"/>
        <v>27.77</v>
      </c>
      <c r="G75" s="51">
        <f t="shared" si="165"/>
        <v>23.28</v>
      </c>
      <c r="H75" s="51">
        <f t="shared" si="165"/>
        <v>76.203999999999994</v>
      </c>
      <c r="I75" s="51">
        <f t="shared" si="165"/>
        <v>81.592999999999989</v>
      </c>
      <c r="J75" s="51">
        <f t="shared" ref="J75:AD75" si="166">IFERROR(J73+J74,"n.a.")</f>
        <v>98.567000000000007</v>
      </c>
      <c r="K75" s="51">
        <f t="shared" si="166"/>
        <v>84.471000000000004</v>
      </c>
      <c r="L75" s="51">
        <f t="shared" si="166"/>
        <v>59.085000000000001</v>
      </c>
      <c r="M75" s="51">
        <f t="shared" si="166"/>
        <v>72.834000000000003</v>
      </c>
      <c r="N75" s="51">
        <f t="shared" si="166"/>
        <v>37.148000000000003</v>
      </c>
      <c r="O75" s="51">
        <f t="shared" si="166"/>
        <v>142.20699999999999</v>
      </c>
      <c r="P75" s="51">
        <f t="shared" si="166"/>
        <v>51.697000000000003</v>
      </c>
      <c r="Q75" s="51">
        <f t="shared" si="166"/>
        <v>70.841999999999999</v>
      </c>
      <c r="R75" s="51">
        <f t="shared" si="166"/>
        <v>17.899999999999999</v>
      </c>
      <c r="S75" s="51">
        <f t="shared" si="166"/>
        <v>50.165999999999997</v>
      </c>
      <c r="T75" s="51">
        <f t="shared" si="166"/>
        <v>32.880000000000003</v>
      </c>
      <c r="U75" s="51">
        <f t="shared" si="166"/>
        <v>47.585999999999999</v>
      </c>
      <c r="V75" s="51">
        <f t="shared" si="166"/>
        <v>46.561999999999998</v>
      </c>
      <c r="W75" s="51">
        <f t="shared" si="166"/>
        <v>63.337000000000003</v>
      </c>
      <c r="X75" s="51">
        <f t="shared" si="166"/>
        <v>26.056000000000001</v>
      </c>
      <c r="Y75" s="51">
        <f t="shared" si="166"/>
        <v>37.4</v>
      </c>
      <c r="Z75" s="51">
        <f t="shared" si="166"/>
        <v>22.681000000000001</v>
      </c>
      <c r="AA75" s="51">
        <f t="shared" si="166"/>
        <v>15.369</v>
      </c>
      <c r="AB75" s="51">
        <f t="shared" si="166"/>
        <v>15.872</v>
      </c>
      <c r="AC75" s="51">
        <f t="shared" si="166"/>
        <v>8.0259999999999998</v>
      </c>
      <c r="AD75" s="51">
        <f t="shared" si="166"/>
        <v>13.027286</v>
      </c>
      <c r="AE75" s="51">
        <f t="shared" ref="AE75:AH75" si="167">IFERROR(AE73+AE74,"n.a.")</f>
        <v>17.212</v>
      </c>
      <c r="AF75" s="51">
        <f t="shared" si="167"/>
        <v>46.457999999999998</v>
      </c>
      <c r="AG75" s="51">
        <f t="shared" si="167"/>
        <v>27.760999999999999</v>
      </c>
      <c r="AH75" s="51">
        <f t="shared" si="167"/>
        <v>22.323184000000001</v>
      </c>
      <c r="AI75" s="51">
        <v>36.309148999999998</v>
      </c>
      <c r="AJ75" s="51">
        <f t="shared" ref="AJ75:AK75" si="168">IFERROR(AJ73+AJ74,"n.a.")</f>
        <v>64.534999999999997</v>
      </c>
      <c r="AK75" s="51">
        <f t="shared" si="168"/>
        <v>65.453000000000003</v>
      </c>
      <c r="AL75" s="51">
        <f t="shared" ref="AL75" si="169">IFERROR(AL73+AL74,"n.a.")</f>
        <v>25.548999999999999</v>
      </c>
    </row>
    <row r="76" spans="1:38" s="14" customFormat="1" ht="13" collapsed="1">
      <c r="A76" s="57" t="s">
        <v>58</v>
      </c>
      <c r="B76" s="53"/>
      <c r="C76" s="54">
        <f t="shared" ref="C76:O76" si="170">IFERROR(C64+C65+C68+C69+C70+C71+C72+C75,"n.a.")</f>
        <v>3042.1950000000002</v>
      </c>
      <c r="D76" s="54">
        <f t="shared" si="170"/>
        <v>2901.1370000000002</v>
      </c>
      <c r="E76" s="54">
        <f t="shared" si="170"/>
        <v>2865.1410000000005</v>
      </c>
      <c r="F76" s="54">
        <f t="shared" si="170"/>
        <v>3208.3889999999997</v>
      </c>
      <c r="G76" s="54">
        <f t="shared" si="170"/>
        <v>2925.5230000000001</v>
      </c>
      <c r="H76" s="54">
        <f t="shared" si="170"/>
        <v>2979.9839999999999</v>
      </c>
      <c r="I76" s="54">
        <f t="shared" si="170"/>
        <v>3150.4320000000002</v>
      </c>
      <c r="J76" s="54">
        <f t="shared" si="170"/>
        <v>3667.1409999999996</v>
      </c>
      <c r="K76" s="54">
        <f t="shared" si="170"/>
        <v>3604.4760000000001</v>
      </c>
      <c r="L76" s="54">
        <f t="shared" si="170"/>
        <v>3396.2610000000004</v>
      </c>
      <c r="M76" s="54">
        <f t="shared" si="170"/>
        <v>3533.46</v>
      </c>
      <c r="N76" s="54">
        <f t="shared" si="170"/>
        <v>3921.5880000000002</v>
      </c>
      <c r="O76" s="54">
        <f t="shared" si="170"/>
        <v>3288.2469999999998</v>
      </c>
      <c r="P76" s="54">
        <f t="shared" ref="P76:AC76" si="171">IFERROR(P64+P65+P68+P69+P70+P71+P72+P75,"n.a.")</f>
        <v>3646.2149999999997</v>
      </c>
      <c r="Q76" s="54">
        <f t="shared" si="171"/>
        <v>3498.5410000000002</v>
      </c>
      <c r="R76" s="54">
        <f t="shared" si="171"/>
        <v>4284.7730000000001</v>
      </c>
      <c r="S76" s="54">
        <f t="shared" si="171"/>
        <v>3017.5930000000003</v>
      </c>
      <c r="T76" s="54">
        <f t="shared" si="171"/>
        <v>3223.2539999999995</v>
      </c>
      <c r="U76" s="54">
        <f t="shared" si="171"/>
        <v>3322.8829999999998</v>
      </c>
      <c r="V76" s="54">
        <f t="shared" si="171"/>
        <v>4284.8329999999996</v>
      </c>
      <c r="W76" s="54">
        <f t="shared" si="171"/>
        <v>3744.4880000000003</v>
      </c>
      <c r="X76" s="54">
        <f t="shared" si="171"/>
        <v>3930.3872380000003</v>
      </c>
      <c r="Y76" s="54">
        <f t="shared" si="171"/>
        <v>4795.6769999999997</v>
      </c>
      <c r="Z76" s="54">
        <f t="shared" si="171"/>
        <v>4422.3361679999989</v>
      </c>
      <c r="AA76" s="54">
        <f t="shared" si="171"/>
        <v>4407.9289999999992</v>
      </c>
      <c r="AB76" s="54">
        <f t="shared" si="171"/>
        <v>4447.9280000000008</v>
      </c>
      <c r="AC76" s="54">
        <f t="shared" si="171"/>
        <v>3993.2094449999991</v>
      </c>
      <c r="AD76" s="54">
        <f t="shared" ref="AD76:AE76" si="172">IFERROR(AD64+AD65+AD68+AD69+AD70+AD71+AD72+AD75,"n.a.")</f>
        <v>3967.2205709999998</v>
      </c>
      <c r="AE76" s="54">
        <f t="shared" si="172"/>
        <v>3896.4058170000003</v>
      </c>
      <c r="AF76" s="54">
        <f>IFERROR(AF64+AF65+AF68+AF69+AF70+AF71+AF72+AF75,"n.a.")</f>
        <v>3848.0725309999998</v>
      </c>
      <c r="AG76" s="54">
        <f t="shared" ref="AG76" si="173">IFERROR(AG64+AG65+AG68+AG69+AG70+AG71+AG72+AG75,"n.a.")</f>
        <v>3846.3306729999999</v>
      </c>
      <c r="AH76" s="54">
        <f>'Balance Sheet - FY'!J76</f>
        <v>4262.6510980000003</v>
      </c>
      <c r="AI76" s="54">
        <f t="shared" ref="AI76" si="174">IFERROR(AI64+AI65+AI68+AI69+AI70+AI71+AI72+AI75,"n.a.")</f>
        <v>3995.6547530000003</v>
      </c>
      <c r="AJ76" s="54">
        <f>IFERROR(AJ64+AJ65+AJ68+AJ69+AJ70+AJ71+AJ72+AJ75,"n.a.")</f>
        <v>3761.6688480000003</v>
      </c>
      <c r="AK76" s="54">
        <f>IFERROR(AK64+AK65+AK68+AK69+AK70+AK71+AK72+AK75,"n.a.")</f>
        <v>3910.8310150000002</v>
      </c>
      <c r="AL76" s="54">
        <f>IFERROR(AL64+AL65+AL68+AL69+AL70+AL71+AL72+AL75,"n.a.")</f>
        <v>4134.659705</v>
      </c>
    </row>
    <row r="77" spans="1:38" hidden="1" outlineLevel="1">
      <c r="A77" s="16" t="s">
        <v>2</v>
      </c>
      <c r="B77" s="12"/>
      <c r="C77" s="44">
        <v>118.33</v>
      </c>
      <c r="D77" s="44">
        <v>0</v>
      </c>
      <c r="E77" s="44">
        <v>91.352999999999994</v>
      </c>
      <c r="F77" s="48">
        <f>'Balance Sheet - FY'!C77</f>
        <v>60.728999999999999</v>
      </c>
      <c r="G77" s="44">
        <v>51.256999999999998</v>
      </c>
      <c r="H77" s="44">
        <v>38.610999999999997</v>
      </c>
      <c r="I77" s="44">
        <v>11.433999999999999</v>
      </c>
      <c r="J77" s="48">
        <f>'Balance Sheet - FY'!D77</f>
        <v>10.677</v>
      </c>
      <c r="K77" s="44">
        <v>0.79600000000000004</v>
      </c>
      <c r="L77" s="44">
        <v>0.8</v>
      </c>
      <c r="M77" s="44">
        <v>0.8</v>
      </c>
      <c r="N77" s="48">
        <f>'Balance Sheet - FY'!E77</f>
        <v>0</v>
      </c>
      <c r="O77" s="44">
        <v>0</v>
      </c>
      <c r="P77" s="44">
        <v>0</v>
      </c>
      <c r="Q77" s="44">
        <v>0</v>
      </c>
      <c r="R77" s="48">
        <f>'Balance Sheet - FY'!F77</f>
        <v>0</v>
      </c>
      <c r="S77" s="44">
        <v>0</v>
      </c>
      <c r="T77" s="44">
        <v>0</v>
      </c>
      <c r="U77" s="44">
        <v>0</v>
      </c>
      <c r="V77" s="48">
        <f>'Balance Sheet - FY'!G77</f>
        <v>0</v>
      </c>
      <c r="W77" s="44">
        <v>0</v>
      </c>
      <c r="X77" s="44">
        <v>0</v>
      </c>
      <c r="Y77" s="44">
        <v>0</v>
      </c>
      <c r="Z77" s="48">
        <f>'Balance Sheet - FY'!H77</f>
        <v>0</v>
      </c>
      <c r="AA77" s="44">
        <v>0</v>
      </c>
      <c r="AB77" s="44">
        <v>0</v>
      </c>
      <c r="AC77" s="44">
        <v>0</v>
      </c>
      <c r="AD77" s="48">
        <v>0</v>
      </c>
      <c r="AE77" s="44">
        <v>0</v>
      </c>
      <c r="AF77" s="44">
        <v>0</v>
      </c>
      <c r="AG77" s="44">
        <v>0</v>
      </c>
      <c r="AH77" s="48">
        <v>0</v>
      </c>
      <c r="AI77" s="44">
        <v>0</v>
      </c>
      <c r="AJ77" s="44">
        <v>0</v>
      </c>
      <c r="AK77" s="44">
        <v>0</v>
      </c>
      <c r="AL77" s="48">
        <f>'Balance Sheet - FY'!K77</f>
        <v>0</v>
      </c>
    </row>
    <row r="78" spans="1:38" s="14" customFormat="1" ht="13" collapsed="1">
      <c r="A78" s="64" t="s">
        <v>3</v>
      </c>
      <c r="B78" s="64"/>
      <c r="C78" s="65">
        <f t="shared" ref="C78:P78" si="175">IFERROR(C63+C76+C77,"n.a.")</f>
        <v>12722.817000000001</v>
      </c>
      <c r="D78" s="65">
        <f t="shared" si="175"/>
        <v>12428.678999999998</v>
      </c>
      <c r="E78" s="65">
        <f t="shared" si="175"/>
        <v>12541.576999999997</v>
      </c>
      <c r="F78" s="65">
        <f t="shared" si="175"/>
        <v>12733.884999999997</v>
      </c>
      <c r="G78" s="65">
        <f t="shared" si="175"/>
        <v>12274.003999999999</v>
      </c>
      <c r="H78" s="65">
        <f t="shared" si="175"/>
        <v>12208.703000000001</v>
      </c>
      <c r="I78" s="65">
        <f t="shared" si="175"/>
        <v>12330.760896965889</v>
      </c>
      <c r="J78" s="65">
        <f t="shared" si="175"/>
        <v>13031.697</v>
      </c>
      <c r="K78" s="65">
        <f t="shared" si="175"/>
        <v>13472.983</v>
      </c>
      <c r="L78" s="65">
        <f t="shared" si="175"/>
        <v>13376.152</v>
      </c>
      <c r="M78" s="65">
        <f t="shared" si="175"/>
        <v>13486.713</v>
      </c>
      <c r="N78" s="65">
        <f t="shared" si="175"/>
        <v>13934.454</v>
      </c>
      <c r="O78" s="65">
        <f t="shared" si="175"/>
        <v>13092.349999999999</v>
      </c>
      <c r="P78" s="65">
        <f t="shared" si="175"/>
        <v>13316.491999999998</v>
      </c>
      <c r="Q78" s="65">
        <f t="shared" ref="Q78:AC78" si="176">IFERROR(Q63+Q76+Q77,"n.a.")</f>
        <v>12929.003000000004</v>
      </c>
      <c r="R78" s="65">
        <f t="shared" si="176"/>
        <v>13738.59</v>
      </c>
      <c r="S78" s="65">
        <f t="shared" si="176"/>
        <v>12499.244999999999</v>
      </c>
      <c r="T78" s="65">
        <f t="shared" si="176"/>
        <v>12814.358</v>
      </c>
      <c r="U78" s="65">
        <f t="shared" si="176"/>
        <v>12826.341</v>
      </c>
      <c r="V78" s="65">
        <f t="shared" si="176"/>
        <v>13883.172999999999</v>
      </c>
      <c r="W78" s="65">
        <f t="shared" si="176"/>
        <v>13396.888999999999</v>
      </c>
      <c r="X78" s="65">
        <f t="shared" si="176"/>
        <v>13737.453226000001</v>
      </c>
      <c r="Y78" s="65">
        <f t="shared" si="176"/>
        <v>14648.177</v>
      </c>
      <c r="Z78" s="65">
        <f t="shared" si="176"/>
        <v>13897.548717999998</v>
      </c>
      <c r="AA78" s="65">
        <f t="shared" si="176"/>
        <v>13829.378000000001</v>
      </c>
      <c r="AB78" s="65">
        <f t="shared" si="176"/>
        <v>13827.552000000003</v>
      </c>
      <c r="AC78" s="65">
        <f t="shared" si="176"/>
        <v>13373.290521999999</v>
      </c>
      <c r="AD78" s="65">
        <f t="shared" ref="AD78:AG78" si="177">IFERROR(AD63+AD76+AD77,"n.a.")</f>
        <v>13530.928022999999</v>
      </c>
      <c r="AE78" s="65">
        <f t="shared" si="177"/>
        <v>13465.37645</v>
      </c>
      <c r="AF78" s="65">
        <f t="shared" si="177"/>
        <v>13286.090977</v>
      </c>
      <c r="AG78" s="65">
        <f t="shared" si="177"/>
        <v>13190.307580000002</v>
      </c>
      <c r="AH78" s="65">
        <f t="shared" ref="AH78:AJ78" si="178">IFERROR(AH63+AH76+AH77,"n.a.")</f>
        <v>13680.621429000001</v>
      </c>
      <c r="AI78" s="65">
        <f t="shared" si="178"/>
        <v>13378.48567</v>
      </c>
      <c r="AJ78" s="65">
        <f t="shared" si="178"/>
        <v>12968.138244999998</v>
      </c>
      <c r="AK78" s="65">
        <f t="shared" ref="AK78:AL78" si="179">IFERROR(AK63+AK76+AK77,"n.a.")</f>
        <v>13124.139022000001</v>
      </c>
      <c r="AL78" s="65">
        <f t="shared" si="179"/>
        <v>13353.184091000001</v>
      </c>
    </row>
    <row r="81" spans="1:38" ht="13.5" thickBot="1">
      <c r="A81" s="9" t="s">
        <v>290</v>
      </c>
      <c r="B81" s="9"/>
      <c r="C81" s="10" t="str">
        <f t="shared" ref="C81:P81" si="180">C4</f>
        <v>1Q 2017</v>
      </c>
      <c r="D81" s="10" t="str">
        <f t="shared" si="180"/>
        <v>1H 2017</v>
      </c>
      <c r="E81" s="10" t="str">
        <f t="shared" si="180"/>
        <v>9M 2017</v>
      </c>
      <c r="F81" s="10" t="str">
        <f t="shared" si="180"/>
        <v>FY 2017</v>
      </c>
      <c r="G81" s="10" t="str">
        <f t="shared" si="180"/>
        <v>1Q 2018</v>
      </c>
      <c r="H81" s="10" t="str">
        <f t="shared" si="180"/>
        <v>1H 2018</v>
      </c>
      <c r="I81" s="10" t="str">
        <f t="shared" si="180"/>
        <v>9M 2018</v>
      </c>
      <c r="J81" s="10" t="str">
        <f t="shared" si="180"/>
        <v>FY 2018</v>
      </c>
      <c r="K81" s="10" t="str">
        <f t="shared" si="180"/>
        <v>1Q 2019</v>
      </c>
      <c r="L81" s="10" t="str">
        <f t="shared" si="180"/>
        <v>1H 2019</v>
      </c>
      <c r="M81" s="10" t="str">
        <f t="shared" si="180"/>
        <v>9M 2019</v>
      </c>
      <c r="N81" s="10" t="str">
        <f t="shared" si="180"/>
        <v>FY 2019</v>
      </c>
      <c r="O81" s="10" t="str">
        <f t="shared" si="180"/>
        <v>1Q 2020</v>
      </c>
      <c r="P81" s="10" t="str">
        <f t="shared" si="180"/>
        <v>1H 2020</v>
      </c>
      <c r="Q81" s="10" t="str">
        <f t="shared" ref="Q81:T82" si="181">Q4</f>
        <v>9M 2020</v>
      </c>
      <c r="R81" s="10" t="str">
        <f t="shared" si="181"/>
        <v>FY 2020</v>
      </c>
      <c r="S81" s="10" t="str">
        <f t="shared" si="181"/>
        <v>1Q 2021</v>
      </c>
      <c r="T81" s="10" t="str">
        <f t="shared" si="181"/>
        <v>1H 2021</v>
      </c>
      <c r="U81" s="10" t="str">
        <f t="shared" ref="U81:AC81" si="182">U4</f>
        <v>9M 2021</v>
      </c>
      <c r="V81" s="10" t="str">
        <f t="shared" si="182"/>
        <v>FY 2021</v>
      </c>
      <c r="W81" s="10" t="str">
        <f t="shared" si="182"/>
        <v>1Q 2022</v>
      </c>
      <c r="X81" s="10" t="str">
        <f t="shared" si="182"/>
        <v>1H 2022</v>
      </c>
      <c r="Y81" s="10" t="str">
        <f t="shared" si="182"/>
        <v>9M 2022</v>
      </c>
      <c r="Z81" s="10" t="str">
        <f t="shared" si="182"/>
        <v>FY 2022</v>
      </c>
      <c r="AA81" s="10" t="str">
        <f t="shared" si="182"/>
        <v>1Q 2023</v>
      </c>
      <c r="AB81" s="10" t="str">
        <f t="shared" si="182"/>
        <v>1H 2023</v>
      </c>
      <c r="AC81" s="10" t="str">
        <f t="shared" si="182"/>
        <v>9M 2023</v>
      </c>
      <c r="AD81" s="10" t="str">
        <f t="shared" ref="AD81:AG81" si="183">AD4</f>
        <v>FY 2023</v>
      </c>
      <c r="AE81" s="10" t="str">
        <f t="shared" si="183"/>
        <v>1Q 2024</v>
      </c>
      <c r="AF81" s="10" t="str">
        <f t="shared" si="183"/>
        <v>1H 2024</v>
      </c>
      <c r="AG81" s="10" t="str">
        <f t="shared" si="183"/>
        <v>9M 2024</v>
      </c>
      <c r="AH81" s="10" t="str">
        <f t="shared" ref="AH81:AJ81" si="184">AH4</f>
        <v>FY 2024</v>
      </c>
      <c r="AI81" s="10" t="str">
        <f t="shared" si="184"/>
        <v>1Q 2025</v>
      </c>
      <c r="AJ81" s="10" t="str">
        <f t="shared" si="184"/>
        <v>1H 2025</v>
      </c>
      <c r="AK81" s="10" t="str">
        <f t="shared" ref="AK81:AL81" si="185">AK4</f>
        <v>9M 2025</v>
      </c>
      <c r="AL81" s="10" t="str">
        <f t="shared" si="185"/>
        <v>FY 2025</v>
      </c>
    </row>
    <row r="82" spans="1:38">
      <c r="C82" s="20" t="str">
        <f t="shared" ref="C82:M82" si="186">C5</f>
        <v>reported</v>
      </c>
      <c r="D82" s="20" t="str">
        <f t="shared" si="186"/>
        <v>carve-out</v>
      </c>
      <c r="E82" s="20" t="str">
        <f t="shared" si="186"/>
        <v>reported</v>
      </c>
      <c r="F82" s="20" t="str">
        <f t="shared" si="186"/>
        <v>reported</v>
      </c>
      <c r="G82" s="20" t="str">
        <f t="shared" si="186"/>
        <v>reported</v>
      </c>
      <c r="H82" s="20" t="str">
        <f t="shared" si="186"/>
        <v>reported</v>
      </c>
      <c r="I82" s="20" t="str">
        <f t="shared" si="186"/>
        <v>reported</v>
      </c>
      <c r="J82" s="20" t="str">
        <f t="shared" si="186"/>
        <v>reported</v>
      </c>
      <c r="K82" s="20" t="str">
        <f t="shared" si="186"/>
        <v>reported</v>
      </c>
      <c r="L82" s="20" t="str">
        <f t="shared" si="186"/>
        <v>reported</v>
      </c>
      <c r="M82" s="20" t="str">
        <f t="shared" si="186"/>
        <v>reported</v>
      </c>
      <c r="R82" s="20" t="str">
        <f t="shared" si="181"/>
        <v>reported</v>
      </c>
      <c r="V82" s="20" t="str">
        <f>V5</f>
        <v>reported</v>
      </c>
      <c r="W82" s="20" t="str">
        <f>W5</f>
        <v>reported</v>
      </c>
      <c r="X82" s="20" t="str">
        <f>X5</f>
        <v>reported</v>
      </c>
      <c r="Z82" s="20" t="str">
        <f t="shared" ref="Z82:AH82" si="187">Z5</f>
        <v>reported</v>
      </c>
      <c r="AA82" s="20" t="str">
        <f t="shared" si="187"/>
        <v>reported</v>
      </c>
      <c r="AB82" s="20" t="str">
        <f t="shared" si="187"/>
        <v>reported</v>
      </c>
      <c r="AC82" s="20" t="str">
        <f t="shared" si="187"/>
        <v>reported</v>
      </c>
      <c r="AD82" s="20" t="str">
        <f t="shared" si="187"/>
        <v>reported</v>
      </c>
      <c r="AE82" s="20" t="str">
        <f t="shared" si="187"/>
        <v>reported</v>
      </c>
      <c r="AF82" s="20" t="str">
        <f t="shared" si="187"/>
        <v>reported</v>
      </c>
      <c r="AG82" s="20" t="str">
        <f t="shared" si="187"/>
        <v>reported</v>
      </c>
      <c r="AH82" s="20" t="str">
        <f t="shared" si="187"/>
        <v>reported</v>
      </c>
      <c r="AI82" s="20" t="str">
        <f t="shared" ref="AI82:AJ82" si="188">AI5</f>
        <v>reported</v>
      </c>
      <c r="AJ82" s="20" t="str">
        <f t="shared" si="188"/>
        <v>reported</v>
      </c>
      <c r="AK82" s="20" t="str">
        <f t="shared" ref="AK82:AL82" si="189">AK5</f>
        <v>reported</v>
      </c>
      <c r="AL82" s="20" t="str">
        <f t="shared" si="189"/>
        <v>reported</v>
      </c>
    </row>
    <row r="84" spans="1:38" hidden="1" outlineLevel="1">
      <c r="A84" s="41" t="s">
        <v>63</v>
      </c>
      <c r="B84" s="17"/>
      <c r="C84" s="43">
        <v>4426.6239999999998</v>
      </c>
      <c r="D84" s="43">
        <v>4297.8860000000004</v>
      </c>
      <c r="E84" s="43">
        <v>4218.5889999999999</v>
      </c>
      <c r="F84" s="33">
        <f>'Balance Sheet - FY'!C84</f>
        <v>3897.0889999999999</v>
      </c>
      <c r="G84" s="43">
        <v>3709.0279999999998</v>
      </c>
      <c r="H84" s="43">
        <v>3791.8409999999999</v>
      </c>
      <c r="I84" s="43">
        <v>3953.5639999999999</v>
      </c>
      <c r="J84" s="33">
        <f>'Balance Sheet - FY'!D84</f>
        <v>3929.0790000000002</v>
      </c>
      <c r="K84" s="43">
        <v>4521.4229999999998</v>
      </c>
      <c r="L84" s="43">
        <v>3999.2849999999999</v>
      </c>
      <c r="M84" s="43">
        <v>4093.973</v>
      </c>
      <c r="N84" s="33">
        <f>'Balance Sheet - FY'!E84</f>
        <v>3949.8359999999998</v>
      </c>
      <c r="O84" s="43">
        <v>4372.4889999999996</v>
      </c>
      <c r="P84" s="43">
        <v>4940.6210000000001</v>
      </c>
      <c r="Q84" s="43">
        <v>4593.0209999999997</v>
      </c>
      <c r="R84" s="33">
        <f>'Balance Sheet - FY'!F84</f>
        <v>4970.9859999999999</v>
      </c>
      <c r="S84" s="43">
        <v>4472.1440000000002</v>
      </c>
      <c r="T84" s="43">
        <v>3565.36</v>
      </c>
      <c r="U84" s="43">
        <v>3353.335</v>
      </c>
      <c r="V84" s="33">
        <f>'Balance Sheet - FY'!G84</f>
        <v>3789.3690000000001</v>
      </c>
      <c r="W84" s="43">
        <v>3636.6390000000001</v>
      </c>
      <c r="X84" s="43">
        <v>3657.4</v>
      </c>
      <c r="Y84" s="43">
        <v>3699.82</v>
      </c>
      <c r="Z84" s="33">
        <f>'Balance Sheet - FY'!H84</f>
        <v>3690.1106889999996</v>
      </c>
      <c r="AA84" s="43">
        <v>3276.0529999999999</v>
      </c>
      <c r="AB84" s="43">
        <v>3279.31</v>
      </c>
      <c r="AC84" s="43">
        <v>3579.8103999999998</v>
      </c>
      <c r="AD84" s="33">
        <f>+'Balance Sheet - FY'!I84</f>
        <v>3174.6777829999996</v>
      </c>
      <c r="AE84" s="163">
        <v>3365.9261519999995</v>
      </c>
      <c r="AF84" s="43">
        <v>2963.6735490000001</v>
      </c>
      <c r="AG84" s="43">
        <v>3556.529693</v>
      </c>
      <c r="AH84" s="33">
        <f>'Balance Sheet - FY'!J84</f>
        <v>3068.598262</v>
      </c>
      <c r="AI84" s="43">
        <v>2765.6963209999999</v>
      </c>
      <c r="AJ84" s="43">
        <v>2759.9708430000001</v>
      </c>
      <c r="AK84" s="43">
        <v>2755.985189</v>
      </c>
      <c r="AL84" s="33">
        <f>'Balance Sheet - FY'!K84</f>
        <v>2747.192235</v>
      </c>
    </row>
    <row r="85" spans="1:38" hidden="1" outlineLevel="1">
      <c r="A85" s="40" t="s">
        <v>64</v>
      </c>
      <c r="B85" s="12"/>
      <c r="C85" s="44">
        <v>76.242000000000004</v>
      </c>
      <c r="D85" s="44">
        <v>74.043000000000006</v>
      </c>
      <c r="E85" s="44">
        <v>76.293000000000006</v>
      </c>
      <c r="F85" s="48">
        <f>'Balance Sheet - FY'!C85</f>
        <v>74.435000000000002</v>
      </c>
      <c r="G85" s="44">
        <v>73.823999999999998</v>
      </c>
      <c r="H85" s="44">
        <v>75.402000000000001</v>
      </c>
      <c r="I85" s="44">
        <v>72.835999999999999</v>
      </c>
      <c r="J85" s="48">
        <f>'Balance Sheet - FY'!D85</f>
        <v>83.287000000000006</v>
      </c>
      <c r="K85" s="44">
        <v>82.236999999999995</v>
      </c>
      <c r="L85" s="44">
        <v>81.421999999999997</v>
      </c>
      <c r="M85" s="44">
        <v>86.061999999999998</v>
      </c>
      <c r="N85" s="48">
        <f>'Balance Sheet - FY'!E85</f>
        <v>90.570999999999998</v>
      </c>
      <c r="O85" s="44">
        <v>80.638999999999996</v>
      </c>
      <c r="P85" s="44">
        <v>82.721000000000004</v>
      </c>
      <c r="Q85" s="44">
        <v>76.070999999999998</v>
      </c>
      <c r="R85" s="48">
        <f>'Balance Sheet - FY'!F85</f>
        <v>77.28</v>
      </c>
      <c r="S85" s="44">
        <v>75</v>
      </c>
      <c r="T85" s="44">
        <v>75.468000000000004</v>
      </c>
      <c r="U85" s="44">
        <v>74.954999999999998</v>
      </c>
      <c r="V85" s="48">
        <f>'Balance Sheet - FY'!G85</f>
        <v>76.484999999999999</v>
      </c>
      <c r="W85" s="44">
        <v>79.09</v>
      </c>
      <c r="X85" s="44">
        <v>77.787999999999997</v>
      </c>
      <c r="Y85" s="44">
        <v>77.7</v>
      </c>
      <c r="Z85" s="48">
        <f>'Balance Sheet - FY'!H85</f>
        <v>74.574176000000008</v>
      </c>
      <c r="AA85" s="44">
        <v>74.13</v>
      </c>
      <c r="AB85" s="44">
        <v>75.123000000000005</v>
      </c>
      <c r="AC85" s="44">
        <v>71.334568000000004</v>
      </c>
      <c r="AD85" s="48">
        <f>+'Balance Sheet - FY'!I85</f>
        <v>77.932091</v>
      </c>
      <c r="AE85" s="162">
        <v>76.166627000000005</v>
      </c>
      <c r="AF85" s="44">
        <v>71.346364000000008</v>
      </c>
      <c r="AG85" s="44">
        <v>68.788737000000012</v>
      </c>
      <c r="AH85" s="48">
        <f>'Balance Sheet - FY'!J85</f>
        <v>79.94665599999999</v>
      </c>
      <c r="AI85" s="44">
        <v>78.483805000000004</v>
      </c>
      <c r="AJ85" s="44">
        <v>69.891471999999993</v>
      </c>
      <c r="AK85" s="44">
        <v>69.052073000000007</v>
      </c>
      <c r="AL85" s="33">
        <f>'Balance Sheet - FY'!K85</f>
        <v>78.054889000000003</v>
      </c>
    </row>
    <row r="86" spans="1:38" hidden="1" outlineLevel="1">
      <c r="A86" s="40" t="s">
        <v>65</v>
      </c>
      <c r="B86" s="12"/>
      <c r="C86" s="44">
        <v>139.238</v>
      </c>
      <c r="D86" s="44">
        <v>128.66200000000001</v>
      </c>
      <c r="E86" s="44">
        <v>126.111</v>
      </c>
      <c r="F86" s="48">
        <f>'Balance Sheet - FY'!C86</f>
        <v>127.124</v>
      </c>
      <c r="G86" s="44">
        <v>124.753</v>
      </c>
      <c r="H86" s="44">
        <v>128.91999999999999</v>
      </c>
      <c r="I86" s="44">
        <v>130.37799999999999</v>
      </c>
      <c r="J86" s="48">
        <f>'Balance Sheet - FY'!D86</f>
        <v>138.327</v>
      </c>
      <c r="K86" s="44">
        <v>131.648</v>
      </c>
      <c r="L86" s="44">
        <v>133.98500000000001</v>
      </c>
      <c r="M86" s="44">
        <v>143.01900000000001</v>
      </c>
      <c r="N86" s="48">
        <f>'Balance Sheet - FY'!E86</f>
        <v>120.46899999999999</v>
      </c>
      <c r="O86" s="44">
        <v>112.89700000000001</v>
      </c>
      <c r="P86" s="44">
        <v>110.27200000000001</v>
      </c>
      <c r="Q86" s="44">
        <v>103.197</v>
      </c>
      <c r="R86" s="48">
        <f>'Balance Sheet - FY'!F86</f>
        <v>73.257000000000005</v>
      </c>
      <c r="S86" s="44">
        <v>69.105999999999995</v>
      </c>
      <c r="T86" s="44">
        <v>72.144999999999996</v>
      </c>
      <c r="U86" s="44">
        <v>72.923000000000002</v>
      </c>
      <c r="V86" s="48">
        <f>'Balance Sheet - FY'!G86</f>
        <v>81.17</v>
      </c>
      <c r="W86" s="44">
        <v>87.671000000000006</v>
      </c>
      <c r="X86" s="44">
        <v>70.891000000000005</v>
      </c>
      <c r="Y86" s="44">
        <v>80.254999999999995</v>
      </c>
      <c r="Z86" s="48">
        <f>'Balance Sheet - FY'!H86</f>
        <v>101.676463</v>
      </c>
      <c r="AA86" s="44">
        <v>100.575</v>
      </c>
      <c r="AB86" s="44">
        <v>100.691</v>
      </c>
      <c r="AC86" s="44">
        <v>102.80792100000001</v>
      </c>
      <c r="AD86" s="48">
        <f>+'Balance Sheet - FY'!I86</f>
        <v>109.547861</v>
      </c>
      <c r="AE86" s="162">
        <v>106.85159299999999</v>
      </c>
      <c r="AF86" s="44">
        <v>99.127461999999994</v>
      </c>
      <c r="AG86" s="44">
        <v>101.92885199999999</v>
      </c>
      <c r="AH86" s="48">
        <f>'Balance Sheet - FY'!J86</f>
        <v>101.122792</v>
      </c>
      <c r="AI86" s="44">
        <v>98.404554999999988</v>
      </c>
      <c r="AJ86" s="44">
        <v>93.010384999999999</v>
      </c>
      <c r="AK86" s="44">
        <v>91.830559999999991</v>
      </c>
      <c r="AL86" s="33">
        <f>'Balance Sheet - FY'!K86</f>
        <v>84.822580000000002</v>
      </c>
    </row>
    <row r="87" spans="1:38" hidden="1" outlineLevel="1">
      <c r="A87" s="40" t="s">
        <v>253</v>
      </c>
      <c r="B87" s="12"/>
      <c r="C87" s="44">
        <v>1311.164</v>
      </c>
      <c r="D87" s="44">
        <v>1308.665</v>
      </c>
      <c r="E87" s="44">
        <v>1298.5740000000001</v>
      </c>
      <c r="F87" s="48">
        <f>'Balance Sheet - FY'!C87</f>
        <v>1216.635</v>
      </c>
      <c r="G87" s="44">
        <v>1207.431</v>
      </c>
      <c r="H87" s="44">
        <v>1210.173</v>
      </c>
      <c r="I87" s="44">
        <v>1132.0060000000001</v>
      </c>
      <c r="J87" s="48">
        <f>'Balance Sheet - FY'!D87</f>
        <v>1081.605</v>
      </c>
      <c r="K87" s="44">
        <v>1087.5940000000001</v>
      </c>
      <c r="L87" s="44">
        <v>1074.309</v>
      </c>
      <c r="M87" s="44">
        <v>1061.01</v>
      </c>
      <c r="N87" s="48">
        <f>'Balance Sheet - FY'!E87</f>
        <v>1058.76</v>
      </c>
      <c r="O87" s="44">
        <v>1053.058</v>
      </c>
      <c r="P87" s="44">
        <v>1050.9269999999999</v>
      </c>
      <c r="Q87" s="44">
        <v>1044.636</v>
      </c>
      <c r="R87" s="48">
        <f>'Balance Sheet - FY'!F87</f>
        <v>1006.799</v>
      </c>
      <c r="S87" s="44">
        <v>999.75300000000004</v>
      </c>
      <c r="T87" s="44">
        <v>1025.865</v>
      </c>
      <c r="U87" s="44">
        <v>1017.9829999999999</v>
      </c>
      <c r="V87" s="48">
        <f>'Balance Sheet - FY'!G87</f>
        <v>1033.8920000000001</v>
      </c>
      <c r="W87" s="44">
        <v>1034.5219999999999</v>
      </c>
      <c r="X87" s="44">
        <v>1020.877</v>
      </c>
      <c r="Y87" s="44">
        <v>1017.79</v>
      </c>
      <c r="Z87" s="48">
        <f>'Balance Sheet - FY'!H87</f>
        <v>1041.8480300000001</v>
      </c>
      <c r="AA87" s="44">
        <v>1033.5150000000001</v>
      </c>
      <c r="AB87" s="44">
        <v>1022.07</v>
      </c>
      <c r="AC87" s="44">
        <v>1020.5734590000001</v>
      </c>
      <c r="AD87" s="48">
        <f>+'Balance Sheet - FY'!I87</f>
        <v>990.870273</v>
      </c>
      <c r="AE87" s="162">
        <v>987.69137000000001</v>
      </c>
      <c r="AF87" s="44">
        <v>985.69224499999996</v>
      </c>
      <c r="AG87" s="44">
        <v>972.78220999999996</v>
      </c>
      <c r="AH87" s="48">
        <f>'Balance Sheet - FY'!J87</f>
        <v>990.24967200000003</v>
      </c>
      <c r="AI87" s="44">
        <v>984.87303799999995</v>
      </c>
      <c r="AJ87" s="44">
        <v>951.33835699999997</v>
      </c>
      <c r="AK87" s="44">
        <v>943.45961999999997</v>
      </c>
      <c r="AL87" s="33">
        <f>'Balance Sheet - FY'!K87</f>
        <v>956.06334900000002</v>
      </c>
    </row>
    <row r="88" spans="1:38" hidden="1" outlineLevel="1">
      <c r="A88" s="40" t="s">
        <v>254</v>
      </c>
      <c r="B88" s="12"/>
      <c r="C88" s="44">
        <v>341.16199999999998</v>
      </c>
      <c r="D88" s="44">
        <v>359.65699999999998</v>
      </c>
      <c r="E88" s="44">
        <v>323.779</v>
      </c>
      <c r="F88" s="48">
        <f>'Balance Sheet - FY'!C88</f>
        <v>274.03699999999998</v>
      </c>
      <c r="G88" s="44">
        <v>264.80500000000001</v>
      </c>
      <c r="H88" s="44">
        <v>199.68</v>
      </c>
      <c r="I88" s="44">
        <v>195.16800000000001</v>
      </c>
      <c r="J88" s="48">
        <f>'Balance Sheet - FY'!D88</f>
        <v>224.31200000000001</v>
      </c>
      <c r="K88" s="44">
        <v>218.875</v>
      </c>
      <c r="L88" s="44">
        <v>219.33</v>
      </c>
      <c r="M88" s="44">
        <v>212.31899999999999</v>
      </c>
      <c r="N88" s="48">
        <f>'Balance Sheet - FY'!E88</f>
        <v>260.83199999999999</v>
      </c>
      <c r="O88" s="44">
        <v>193.09200000000001</v>
      </c>
      <c r="P88" s="44">
        <v>188.58699999999999</v>
      </c>
      <c r="Q88" s="44">
        <v>170.24799999999999</v>
      </c>
      <c r="R88" s="48">
        <f>'Balance Sheet - FY'!F88</f>
        <v>243.93100000000001</v>
      </c>
      <c r="S88" s="44">
        <v>241.626</v>
      </c>
      <c r="T88" s="44">
        <v>188.553</v>
      </c>
      <c r="U88" s="44">
        <v>200.566</v>
      </c>
      <c r="V88" s="48">
        <f>'Balance Sheet - FY'!G88</f>
        <v>220.59800000000001</v>
      </c>
      <c r="W88" s="44">
        <v>229.75299999999999</v>
      </c>
      <c r="X88" s="44">
        <v>172.39</v>
      </c>
      <c r="Y88" s="44">
        <v>180.25</v>
      </c>
      <c r="Z88" s="48">
        <f>'Balance Sheet - FY'!H88</f>
        <v>180.557569</v>
      </c>
      <c r="AA88" s="44">
        <v>184.38800000000001</v>
      </c>
      <c r="AB88" s="44">
        <v>161.30000000000001</v>
      </c>
      <c r="AC88" s="44">
        <v>170.80770100000001</v>
      </c>
      <c r="AD88" s="48">
        <f>+'Balance Sheet - FY'!I88</f>
        <v>180.218389</v>
      </c>
      <c r="AE88" s="162">
        <v>187.12098600000002</v>
      </c>
      <c r="AF88" s="44">
        <v>167.66087400000001</v>
      </c>
      <c r="AG88" s="44">
        <v>172.11905300000001</v>
      </c>
      <c r="AH88" s="48">
        <f>'Balance Sheet - FY'!J88</f>
        <v>184.03990999999999</v>
      </c>
      <c r="AI88" s="44">
        <v>189.481718</v>
      </c>
      <c r="AJ88" s="44">
        <v>165.49113399999999</v>
      </c>
      <c r="AK88" s="44">
        <v>172.67147700000001</v>
      </c>
      <c r="AL88" s="33">
        <f>'Balance Sheet - FY'!K88</f>
        <v>171.83861899999999</v>
      </c>
    </row>
    <row r="89" spans="1:38" hidden="1" outlineLevel="1">
      <c r="A89" s="40" t="s">
        <v>66</v>
      </c>
      <c r="B89" s="12"/>
      <c r="C89" s="44">
        <v>2.6819999999999999</v>
      </c>
      <c r="D89" s="44">
        <v>2.4449999999999998</v>
      </c>
      <c r="E89" s="44">
        <v>2.4700000000000002</v>
      </c>
      <c r="F89" s="48">
        <f>'Balance Sheet - FY'!C89</f>
        <v>2.399</v>
      </c>
      <c r="G89" s="44">
        <v>2.3340000000000001</v>
      </c>
      <c r="H89" s="44">
        <v>2.1259999999999999</v>
      </c>
      <c r="I89" s="44">
        <v>2.06</v>
      </c>
      <c r="J89" s="48">
        <f>'Balance Sheet - FY'!D89</f>
        <v>2.0910000000000002</v>
      </c>
      <c r="K89" s="44">
        <v>2.1230000000000002</v>
      </c>
      <c r="L89" s="44">
        <v>2.133</v>
      </c>
      <c r="M89" s="44">
        <v>2.048</v>
      </c>
      <c r="N89" s="48">
        <f>'Balance Sheet - FY'!E89</f>
        <v>12.555</v>
      </c>
      <c r="O89" s="44">
        <v>12.589</v>
      </c>
      <c r="P89" s="44">
        <v>11.499000000000001</v>
      </c>
      <c r="Q89" s="44">
        <v>11.215</v>
      </c>
      <c r="R89" s="48">
        <f>'Balance Sheet - FY'!F89</f>
        <v>10.795</v>
      </c>
      <c r="S89" s="44">
        <v>11.223000000000001</v>
      </c>
      <c r="T89" s="44">
        <v>11.227</v>
      </c>
      <c r="U89" s="44">
        <v>11.284000000000001</v>
      </c>
      <c r="V89" s="48">
        <f>'Balance Sheet - FY'!G89</f>
        <v>11.512</v>
      </c>
      <c r="W89" s="44">
        <v>0.39900000000000002</v>
      </c>
      <c r="X89" s="44">
        <v>1.1180000000000001</v>
      </c>
      <c r="Y89" s="44">
        <v>1.55</v>
      </c>
      <c r="Z89" s="48">
        <f>'Balance Sheet - FY'!H89</f>
        <v>12.780031000000001</v>
      </c>
      <c r="AA89" s="44">
        <v>12.791</v>
      </c>
      <c r="AB89" s="44">
        <v>12.87</v>
      </c>
      <c r="AC89" s="44">
        <v>12.866616</v>
      </c>
      <c r="AD89" s="48">
        <f>+'Balance Sheet - FY'!I89</f>
        <v>14.390852000000001</v>
      </c>
      <c r="AE89" s="162">
        <v>4.6675610000000001</v>
      </c>
      <c r="AF89" s="44">
        <f>4.263324</f>
        <v>4.2633239999999999</v>
      </c>
      <c r="AG89" s="44">
        <v>4.2117619999999993</v>
      </c>
      <c r="AH89" s="48">
        <f>'Balance Sheet - FY'!J89</f>
        <v>4.0014760000000003</v>
      </c>
      <c r="AI89" s="44">
        <v>4.1883540000000004</v>
      </c>
      <c r="AJ89" s="44">
        <v>4.0363850000000001</v>
      </c>
      <c r="AK89" s="44">
        <v>4.0638760000000005</v>
      </c>
      <c r="AL89" s="33">
        <f>'Balance Sheet - FY'!K89</f>
        <v>4.0869629999999999</v>
      </c>
    </row>
    <row r="90" spans="1:38" hidden="1" outlineLevel="2">
      <c r="A90" s="40" t="s">
        <v>184</v>
      </c>
      <c r="B90" s="12"/>
      <c r="C90" s="44">
        <v>0</v>
      </c>
      <c r="D90" s="44">
        <v>0</v>
      </c>
      <c r="E90" s="44">
        <v>0</v>
      </c>
      <c r="F90" s="48">
        <f>'Balance Sheet - FY'!C90</f>
        <v>54.963000000000001</v>
      </c>
      <c r="G90" s="44">
        <v>97.49</v>
      </c>
      <c r="H90" s="44">
        <v>7.423</v>
      </c>
      <c r="I90" s="44">
        <v>5.7359999999999998</v>
      </c>
      <c r="J90" s="48">
        <f>'Balance Sheet - FY'!D90</f>
        <v>13.738</v>
      </c>
      <c r="K90" s="44">
        <v>19.957000000000001</v>
      </c>
      <c r="L90" s="44">
        <v>35.555999999999997</v>
      </c>
      <c r="M90" s="44">
        <v>14.093999999999999</v>
      </c>
      <c r="N90" s="48">
        <f>'Balance Sheet - FY'!E90</f>
        <v>10.327</v>
      </c>
      <c r="O90" s="44">
        <v>10.6</v>
      </c>
      <c r="P90" s="44">
        <v>11.111000000000001</v>
      </c>
      <c r="Q90" s="44">
        <v>22.738</v>
      </c>
      <c r="R90" s="48">
        <f>'Balance Sheet - FY'!F90</f>
        <v>87.600999999999999</v>
      </c>
      <c r="S90" s="44">
        <v>17.390999999999998</v>
      </c>
      <c r="T90" s="44">
        <v>5.0750000000000002</v>
      </c>
      <c r="U90" s="44">
        <v>4.3869999999999996</v>
      </c>
      <c r="V90" s="48">
        <f>'Balance Sheet - FY'!G90</f>
        <v>3.5190000000000001</v>
      </c>
      <c r="W90" s="44">
        <v>1.23</v>
      </c>
      <c r="X90" s="44">
        <v>0</v>
      </c>
      <c r="Y90" s="44">
        <v>0</v>
      </c>
      <c r="Z90" s="48">
        <f>'Balance Sheet - FY'!H90</f>
        <v>0</v>
      </c>
      <c r="AA90" s="44">
        <v>0</v>
      </c>
      <c r="AB90" s="44">
        <v>0</v>
      </c>
      <c r="AC90" s="44">
        <v>0</v>
      </c>
      <c r="AD90" s="48">
        <f>+'Balance Sheet - FY'!I90</f>
        <v>0</v>
      </c>
      <c r="AE90" s="44">
        <v>0</v>
      </c>
      <c r="AF90" s="44">
        <v>0</v>
      </c>
      <c r="AG90" s="44">
        <v>0</v>
      </c>
      <c r="AH90" s="48">
        <f>'Balance Sheet - FY'!J90</f>
        <v>0</v>
      </c>
      <c r="AI90" s="44">
        <v>0</v>
      </c>
      <c r="AJ90" s="44">
        <v>0</v>
      </c>
      <c r="AK90" s="44">
        <v>0</v>
      </c>
      <c r="AL90" s="33">
        <f>'Balance Sheet - FY'!K90</f>
        <v>0</v>
      </c>
    </row>
    <row r="91" spans="1:38" hidden="1" outlineLevel="2">
      <c r="A91" s="40" t="s">
        <v>185</v>
      </c>
      <c r="B91" s="12"/>
      <c r="C91" s="44">
        <v>0</v>
      </c>
      <c r="D91" s="44">
        <v>0</v>
      </c>
      <c r="E91" s="44">
        <v>0</v>
      </c>
      <c r="F91" s="48">
        <f>'Balance Sheet - FY'!C91</f>
        <v>0</v>
      </c>
      <c r="G91" s="44">
        <v>0</v>
      </c>
      <c r="H91" s="44">
        <v>0.88700000000000045</v>
      </c>
      <c r="I91" s="44">
        <v>0.38200000000000001</v>
      </c>
      <c r="J91" s="48">
        <f>'Balance Sheet - FY'!D91</f>
        <v>2.3010000000000019</v>
      </c>
      <c r="K91" s="44">
        <v>3.3559999999999981</v>
      </c>
      <c r="L91" s="44">
        <v>0</v>
      </c>
      <c r="M91" s="44">
        <v>0</v>
      </c>
      <c r="N91" s="48">
        <f>'Balance Sheet - FY'!E91</f>
        <v>0</v>
      </c>
      <c r="O91" s="44">
        <v>0</v>
      </c>
      <c r="P91" s="44">
        <v>0</v>
      </c>
      <c r="Q91" s="44">
        <v>0</v>
      </c>
      <c r="R91" s="48">
        <f>'Balance Sheet - FY'!F91</f>
        <v>0</v>
      </c>
      <c r="S91" s="44">
        <v>0</v>
      </c>
      <c r="T91" s="44">
        <v>0</v>
      </c>
      <c r="U91" s="44">
        <v>0</v>
      </c>
      <c r="V91" s="48">
        <f>'Balance Sheet - FY'!G91</f>
        <v>0</v>
      </c>
      <c r="W91" s="44">
        <v>0</v>
      </c>
      <c r="X91" s="44">
        <v>0</v>
      </c>
      <c r="Y91" s="44">
        <v>0</v>
      </c>
      <c r="Z91" s="48">
        <f>'Balance Sheet - FY'!H91</f>
        <v>0</v>
      </c>
      <c r="AA91" s="44">
        <v>0</v>
      </c>
      <c r="AB91" s="44">
        <v>0</v>
      </c>
      <c r="AC91" s="44">
        <v>0</v>
      </c>
      <c r="AD91" s="48">
        <f>+'Balance Sheet - FY'!I91</f>
        <v>0</v>
      </c>
      <c r="AE91" s="44">
        <v>0</v>
      </c>
      <c r="AF91" s="44">
        <v>0</v>
      </c>
      <c r="AG91" s="44">
        <v>0</v>
      </c>
      <c r="AH91" s="48">
        <f>'Balance Sheet - FY'!J91</f>
        <v>0</v>
      </c>
      <c r="AI91" s="44">
        <v>0</v>
      </c>
      <c r="AJ91" s="44">
        <v>0</v>
      </c>
      <c r="AK91" s="44">
        <v>0</v>
      </c>
      <c r="AL91" s="33">
        <f>'Balance Sheet - FY'!K91</f>
        <v>0</v>
      </c>
    </row>
    <row r="92" spans="1:38" hidden="1" outlineLevel="1">
      <c r="A92" s="40" t="s">
        <v>57</v>
      </c>
      <c r="B92" s="12"/>
      <c r="C92" s="51">
        <f t="shared" ref="C92:AC92" si="190">IFERROR(C90+C91,"n.a.")</f>
        <v>0</v>
      </c>
      <c r="D92" s="51">
        <f t="shared" si="190"/>
        <v>0</v>
      </c>
      <c r="E92" s="51">
        <f t="shared" si="190"/>
        <v>0</v>
      </c>
      <c r="F92" s="51">
        <f t="shared" si="190"/>
        <v>54.963000000000001</v>
      </c>
      <c r="G92" s="51">
        <f t="shared" si="190"/>
        <v>97.49</v>
      </c>
      <c r="H92" s="51">
        <f t="shared" si="190"/>
        <v>8.31</v>
      </c>
      <c r="I92" s="51">
        <f t="shared" si="190"/>
        <v>6.1179999999999994</v>
      </c>
      <c r="J92" s="51">
        <f t="shared" si="190"/>
        <v>16.039000000000001</v>
      </c>
      <c r="K92" s="51">
        <f t="shared" si="190"/>
        <v>23.312999999999999</v>
      </c>
      <c r="L92" s="51">
        <f t="shared" si="190"/>
        <v>35.555999999999997</v>
      </c>
      <c r="M92" s="51">
        <f t="shared" si="190"/>
        <v>14.093999999999999</v>
      </c>
      <c r="N92" s="51">
        <f t="shared" si="190"/>
        <v>10.327</v>
      </c>
      <c r="O92" s="51">
        <f t="shared" si="190"/>
        <v>10.6</v>
      </c>
      <c r="P92" s="51">
        <f t="shared" si="190"/>
        <v>11.111000000000001</v>
      </c>
      <c r="Q92" s="51">
        <f t="shared" si="190"/>
        <v>22.738</v>
      </c>
      <c r="R92" s="51">
        <f t="shared" si="190"/>
        <v>87.600999999999999</v>
      </c>
      <c r="S92" s="51">
        <f t="shared" si="190"/>
        <v>17.390999999999998</v>
      </c>
      <c r="T92" s="51">
        <f t="shared" si="190"/>
        <v>5.0750000000000002</v>
      </c>
      <c r="U92" s="51">
        <f t="shared" si="190"/>
        <v>4.3869999999999996</v>
      </c>
      <c r="V92" s="51">
        <f t="shared" si="190"/>
        <v>3.5190000000000001</v>
      </c>
      <c r="W92" s="51">
        <f t="shared" si="190"/>
        <v>1.23</v>
      </c>
      <c r="X92" s="51">
        <f t="shared" si="190"/>
        <v>0</v>
      </c>
      <c r="Y92" s="51">
        <f t="shared" si="190"/>
        <v>0</v>
      </c>
      <c r="Z92" s="51">
        <f t="shared" si="190"/>
        <v>0</v>
      </c>
      <c r="AA92" s="51">
        <f t="shared" si="190"/>
        <v>0</v>
      </c>
      <c r="AB92" s="51">
        <f t="shared" si="190"/>
        <v>0</v>
      </c>
      <c r="AC92" s="51">
        <f t="shared" si="190"/>
        <v>0</v>
      </c>
      <c r="AD92" s="51">
        <f t="shared" ref="AD92:AH92" si="191">IFERROR(AD90+AD91,"n.a.")</f>
        <v>0</v>
      </c>
      <c r="AE92" s="51">
        <f t="shared" si="191"/>
        <v>0</v>
      </c>
      <c r="AF92" s="51">
        <f t="shared" si="191"/>
        <v>0</v>
      </c>
      <c r="AG92" s="51">
        <f t="shared" si="191"/>
        <v>0</v>
      </c>
      <c r="AH92" s="51">
        <f t="shared" si="191"/>
        <v>0</v>
      </c>
      <c r="AI92" s="51">
        <f t="shared" ref="AI92:AJ92" si="192">IFERROR(AI90+AI91,"n.a.")</f>
        <v>0</v>
      </c>
      <c r="AJ92" s="51">
        <f t="shared" si="192"/>
        <v>0</v>
      </c>
      <c r="AK92" s="51">
        <f t="shared" ref="AK92:AL92" si="193">IFERROR(AK90+AK91,"n.a.")</f>
        <v>0</v>
      </c>
      <c r="AL92" s="51">
        <f t="shared" si="193"/>
        <v>0</v>
      </c>
    </row>
    <row r="93" spans="1:38" s="14" customFormat="1" ht="13" collapsed="1">
      <c r="A93" s="57" t="s">
        <v>5</v>
      </c>
      <c r="B93" s="53"/>
      <c r="C93" s="54">
        <f t="shared" ref="C93:I93" si="194">IFERROR(C84+C85+C86+C87+C88+C89+C92,"n.a.")</f>
        <v>6297.1120000000001</v>
      </c>
      <c r="D93" s="54">
        <f t="shared" si="194"/>
        <v>6171.3580000000002</v>
      </c>
      <c r="E93" s="54">
        <f t="shared" si="194"/>
        <v>6045.8159999999998</v>
      </c>
      <c r="F93" s="54">
        <f t="shared" si="194"/>
        <v>5646.6820000000007</v>
      </c>
      <c r="G93" s="54">
        <f t="shared" si="194"/>
        <v>5479.665</v>
      </c>
      <c r="H93" s="54">
        <f t="shared" si="194"/>
        <v>5416.4520000000011</v>
      </c>
      <c r="I93" s="54">
        <f t="shared" si="194"/>
        <v>5492.13</v>
      </c>
      <c r="J93" s="54">
        <f t="shared" ref="J93:AC93" si="195">IFERROR(J84+J85+J86+J87+J88+J89+J92,"n.a.")</f>
        <v>5474.7400000000007</v>
      </c>
      <c r="K93" s="54">
        <f t="shared" si="195"/>
        <v>6067.2129999999997</v>
      </c>
      <c r="L93" s="54">
        <f t="shared" si="195"/>
        <v>5546.0199999999995</v>
      </c>
      <c r="M93" s="54">
        <f t="shared" si="195"/>
        <v>5612.5250000000005</v>
      </c>
      <c r="N93" s="54">
        <f t="shared" si="195"/>
        <v>5503.35</v>
      </c>
      <c r="O93" s="54">
        <f t="shared" si="195"/>
        <v>5835.3639999999996</v>
      </c>
      <c r="P93" s="54">
        <f t="shared" si="195"/>
        <v>6395.7380000000003</v>
      </c>
      <c r="Q93" s="54">
        <f t="shared" si="195"/>
        <v>6021.1259999999993</v>
      </c>
      <c r="R93" s="54">
        <f t="shared" si="195"/>
        <v>6470.6489999999985</v>
      </c>
      <c r="S93" s="54">
        <f t="shared" si="195"/>
        <v>5886.2429999999995</v>
      </c>
      <c r="T93" s="54">
        <f t="shared" si="195"/>
        <v>4943.6929999999993</v>
      </c>
      <c r="U93" s="54">
        <f t="shared" si="195"/>
        <v>4735.4329999999991</v>
      </c>
      <c r="V93" s="54">
        <f t="shared" si="195"/>
        <v>5216.5450000000001</v>
      </c>
      <c r="W93" s="54">
        <f t="shared" si="195"/>
        <v>5069.3040000000001</v>
      </c>
      <c r="X93" s="54">
        <f t="shared" si="195"/>
        <v>5000.4640000000009</v>
      </c>
      <c r="Y93" s="54">
        <f t="shared" si="195"/>
        <v>5057.3650000000007</v>
      </c>
      <c r="Z93" s="54">
        <f t="shared" si="195"/>
        <v>5101.5469579999999</v>
      </c>
      <c r="AA93" s="54">
        <f t="shared" si="195"/>
        <v>4681.4520000000002</v>
      </c>
      <c r="AB93" s="54">
        <f t="shared" si="195"/>
        <v>4651.3639999999996</v>
      </c>
      <c r="AC93" s="54">
        <f t="shared" si="195"/>
        <v>4958.2006650000003</v>
      </c>
      <c r="AD93" s="54">
        <f t="shared" ref="AD93:AH93" si="196">IFERROR(AD84+AD85+AD86+AD87+AD88+AD89+AD92,"n.a.")</f>
        <v>4547.6372489999994</v>
      </c>
      <c r="AE93" s="54">
        <f t="shared" si="196"/>
        <v>4728.4242889999996</v>
      </c>
      <c r="AF93" s="54">
        <f t="shared" si="196"/>
        <v>4291.7638179999994</v>
      </c>
      <c r="AG93" s="54">
        <f t="shared" si="196"/>
        <v>4876.3603069999999</v>
      </c>
      <c r="AH93" s="54">
        <f t="shared" si="196"/>
        <v>4427.9587680000013</v>
      </c>
      <c r="AI93" s="54">
        <f t="shared" ref="AI93:AJ93" si="197">IFERROR(AI84+AI85+AI86+AI87+AI88+AI89+AI92,"n.a.")</f>
        <v>4121.1277909999999</v>
      </c>
      <c r="AJ93" s="54">
        <f t="shared" si="197"/>
        <v>4043.7385759999997</v>
      </c>
      <c r="AK93" s="54">
        <f t="shared" ref="AK93:AL93" si="198">IFERROR(AK84+AK85+AK86+AK87+AK88+AK89+AK92,"n.a.")</f>
        <v>4037.0627949999998</v>
      </c>
      <c r="AL93" s="54">
        <f t="shared" si="198"/>
        <v>4042.0586350000003</v>
      </c>
    </row>
    <row r="94" spans="1:38" hidden="1" outlineLevel="1">
      <c r="A94" s="40" t="s">
        <v>63</v>
      </c>
      <c r="B94" s="12"/>
      <c r="C94" s="44">
        <v>1689.816</v>
      </c>
      <c r="D94" s="44">
        <v>540.30399999999997</v>
      </c>
      <c r="E94" s="44">
        <v>580.11400000000003</v>
      </c>
      <c r="F94" s="48">
        <f>'Balance Sheet - FY'!C94</f>
        <v>559.16800000000001</v>
      </c>
      <c r="G94" s="44">
        <v>849.18799999999999</v>
      </c>
      <c r="H94" s="44">
        <v>869.12300000000005</v>
      </c>
      <c r="I94" s="44">
        <v>824.34299999999996</v>
      </c>
      <c r="J94" s="48">
        <f>'Balance Sheet - FY'!D94</f>
        <v>800.14499999999998</v>
      </c>
      <c r="K94" s="44">
        <v>1041.0219999999999</v>
      </c>
      <c r="L94" s="44">
        <v>1399.308</v>
      </c>
      <c r="M94" s="44">
        <v>1454.1790000000001</v>
      </c>
      <c r="N94" s="48">
        <f>'Balance Sheet - FY'!E94</f>
        <v>1419.403</v>
      </c>
      <c r="O94" s="44">
        <v>1196.672</v>
      </c>
      <c r="P94" s="44">
        <v>1182.306</v>
      </c>
      <c r="Q94" s="44">
        <v>1158.6489999999999</v>
      </c>
      <c r="R94" s="48">
        <f>'Balance Sheet - FY'!F94</f>
        <v>883.56700000000001</v>
      </c>
      <c r="S94" s="44">
        <v>538.56299999999999</v>
      </c>
      <c r="T94" s="44">
        <v>1384.8720000000001</v>
      </c>
      <c r="U94" s="44">
        <v>1533.8920000000001</v>
      </c>
      <c r="V94" s="48">
        <f>'Balance Sheet - FY'!G94</f>
        <v>1489.249</v>
      </c>
      <c r="W94" s="44">
        <v>1215.163</v>
      </c>
      <c r="X94" s="44">
        <v>1240.5709999999999</v>
      </c>
      <c r="Y94" s="44">
        <v>1637.06</v>
      </c>
      <c r="Z94" s="48">
        <f>'Balance Sheet - FY'!H94</f>
        <v>800.38852500000007</v>
      </c>
      <c r="AA94" s="44">
        <v>1549.81</v>
      </c>
      <c r="AB94" s="44">
        <v>1473.518</v>
      </c>
      <c r="AC94" s="44">
        <v>690.09641500000009</v>
      </c>
      <c r="AD94" s="48">
        <f>+'Balance Sheet - FY'!I94</f>
        <v>789.52709699999991</v>
      </c>
      <c r="AE94" s="162">
        <v>793.61142299999995</v>
      </c>
      <c r="AF94" s="44">
        <v>1185.6093529999998</v>
      </c>
      <c r="AG94" s="44">
        <v>453.09695099999999</v>
      </c>
      <c r="AH94" s="48">
        <f>'Balance Sheet - FY'!J94</f>
        <v>760.85669799999994</v>
      </c>
      <c r="AI94" s="44">
        <v>1059.799943</v>
      </c>
      <c r="AJ94" s="44">
        <v>1049.572369</v>
      </c>
      <c r="AK94" s="44">
        <v>997.89342799999997</v>
      </c>
      <c r="AL94" s="33">
        <f>'Balance Sheet - FY'!K94</f>
        <v>210.60224500000001</v>
      </c>
    </row>
    <row r="95" spans="1:38" hidden="1" outlineLevel="1">
      <c r="A95" s="40" t="s">
        <v>39</v>
      </c>
      <c r="B95" s="12"/>
      <c r="C95" s="44">
        <v>1062.2349999999999</v>
      </c>
      <c r="D95" s="44">
        <v>1139.7940000000001</v>
      </c>
      <c r="E95" s="44">
        <v>1066.8789999999999</v>
      </c>
      <c r="F95" s="48">
        <f>'Balance Sheet - FY'!C95</f>
        <v>1673.6420000000001</v>
      </c>
      <c r="G95" s="44">
        <v>1062.45</v>
      </c>
      <c r="H95" s="44">
        <v>1052.184</v>
      </c>
      <c r="I95" s="44">
        <v>1004.992</v>
      </c>
      <c r="J95" s="48">
        <f>'Balance Sheet - FY'!D95</f>
        <v>1604.6769999999999</v>
      </c>
      <c r="K95" s="44">
        <f>1142.538+80.3</f>
        <v>1222.838</v>
      </c>
      <c r="L95" s="44">
        <f>1200.344+73.4</f>
        <v>1273.7440000000001</v>
      </c>
      <c r="M95" s="44">
        <f>1146.676+54.9</f>
        <v>1201.576</v>
      </c>
      <c r="N95" s="48">
        <f>'Balance Sheet - FY'!E95</f>
        <v>1721.088</v>
      </c>
      <c r="O95" s="44">
        <f>961.336+59.8</f>
        <v>1021.136</v>
      </c>
      <c r="P95" s="44">
        <f>858.423+46.9</f>
        <v>905.32299999999998</v>
      </c>
      <c r="Q95" s="44">
        <f>808.411+32.6</f>
        <v>841.01099999999997</v>
      </c>
      <c r="R95" s="48">
        <f>'Balance Sheet - FY'!F95</f>
        <v>1316.971</v>
      </c>
      <c r="S95" s="44">
        <f>862.07+52.1</f>
        <v>914.17000000000007</v>
      </c>
      <c r="T95" s="44">
        <f>966.934+79.8</f>
        <v>1046.7339999999999</v>
      </c>
      <c r="U95" s="44">
        <f>1043.905+48.2</f>
        <v>1092.105</v>
      </c>
      <c r="V95" s="48">
        <f>'Balance Sheet - FY'!G95</f>
        <v>1626.367</v>
      </c>
      <c r="W95" s="44">
        <v>1196.771</v>
      </c>
      <c r="X95" s="44">
        <v>1454.164</v>
      </c>
      <c r="Y95" s="44">
        <v>1625.27</v>
      </c>
      <c r="Z95" s="48">
        <f>'Balance Sheet - FY'!H95</f>
        <v>1973.296439</v>
      </c>
      <c r="AA95" s="44">
        <v>1367.84</v>
      </c>
      <c r="AB95" s="44">
        <v>1405.095</v>
      </c>
      <c r="AC95" s="44">
        <v>1484.3230209999999</v>
      </c>
      <c r="AD95" s="48">
        <f>+'Balance Sheet - FY'!I95</f>
        <v>1999.4181839999999</v>
      </c>
      <c r="AE95" s="162">
        <v>1460.4498249999999</v>
      </c>
      <c r="AF95" s="44">
        <v>1499.058853</v>
      </c>
      <c r="AG95" s="44">
        <v>1562.755017</v>
      </c>
      <c r="AH95" s="48">
        <f>'Balance Sheet - FY'!J95</f>
        <v>2081.6171899999999</v>
      </c>
      <c r="AI95" s="44">
        <v>1606.449222</v>
      </c>
      <c r="AJ95" s="44">
        <v>1573.6713299999999</v>
      </c>
      <c r="AK95" s="44">
        <v>1609.681787</v>
      </c>
      <c r="AL95" s="33">
        <f>'Balance Sheet - FY'!K95</f>
        <v>2082.442129</v>
      </c>
    </row>
    <row r="96" spans="1:38" hidden="1" outlineLevel="1">
      <c r="A96" s="40" t="s">
        <v>172</v>
      </c>
      <c r="B96" s="12"/>
      <c r="C96" s="44">
        <v>0</v>
      </c>
      <c r="D96" s="44">
        <v>0</v>
      </c>
      <c r="E96" s="44">
        <v>0</v>
      </c>
      <c r="F96" s="48">
        <f>'Balance Sheet - FY'!C96</f>
        <v>0</v>
      </c>
      <c r="G96" s="44">
        <v>11.202</v>
      </c>
      <c r="H96" s="44">
        <v>0</v>
      </c>
      <c r="I96" s="44">
        <v>0</v>
      </c>
      <c r="J96" s="48">
        <f>'Balance Sheet - FY'!D96</f>
        <v>0</v>
      </c>
      <c r="K96" s="44">
        <v>0</v>
      </c>
      <c r="L96" s="44">
        <v>0</v>
      </c>
      <c r="M96" s="44">
        <v>0</v>
      </c>
      <c r="N96" s="48">
        <f>'Balance Sheet - FY'!E96</f>
        <v>0</v>
      </c>
      <c r="O96" s="44">
        <v>0</v>
      </c>
      <c r="P96" s="44">
        <v>0</v>
      </c>
      <c r="Q96" s="44">
        <v>0</v>
      </c>
      <c r="R96" s="48">
        <f>'Balance Sheet - FY'!F96</f>
        <v>0</v>
      </c>
      <c r="S96" s="44">
        <v>0</v>
      </c>
      <c r="T96" s="44">
        <v>0</v>
      </c>
      <c r="U96" s="44">
        <v>0</v>
      </c>
      <c r="V96" s="48">
        <f>'Balance Sheet - FY'!G96</f>
        <v>0</v>
      </c>
      <c r="W96" s="44">
        <v>0</v>
      </c>
      <c r="X96" s="44">
        <v>0</v>
      </c>
      <c r="Y96" s="44"/>
      <c r="Z96" s="48">
        <f>'Balance Sheet - FY'!H96</f>
        <v>0</v>
      </c>
      <c r="AA96" s="44">
        <v>0</v>
      </c>
      <c r="AB96" s="44">
        <v>0</v>
      </c>
      <c r="AC96" s="44">
        <v>0</v>
      </c>
      <c r="AD96" s="48">
        <f>+'Balance Sheet - FY'!I96</f>
        <v>0</v>
      </c>
      <c r="AE96" s="44">
        <v>0</v>
      </c>
      <c r="AF96" s="44">
        <v>0</v>
      </c>
      <c r="AG96" s="44">
        <v>0</v>
      </c>
      <c r="AH96" s="48">
        <f>'Balance Sheet - FY'!J96</f>
        <v>0</v>
      </c>
      <c r="AI96" s="44">
        <v>0</v>
      </c>
      <c r="AJ96" s="44">
        <v>0</v>
      </c>
      <c r="AK96" s="44">
        <v>0</v>
      </c>
      <c r="AL96" s="33">
        <f>'Balance Sheet - FY'!K96</f>
        <v>0</v>
      </c>
    </row>
    <row r="97" spans="1:38" hidden="1" outlineLevel="1">
      <c r="A97" s="40" t="s">
        <v>64</v>
      </c>
      <c r="B97" s="12"/>
      <c r="C97" s="44">
        <v>482.39</v>
      </c>
      <c r="D97" s="44">
        <v>383.46499999999997</v>
      </c>
      <c r="E97" s="44">
        <v>468.291</v>
      </c>
      <c r="F97" s="48">
        <f>'Balance Sheet - FY'!C97</f>
        <v>565.255</v>
      </c>
      <c r="G97" s="44">
        <v>469.48</v>
      </c>
      <c r="H97" s="44">
        <v>426.06599999999997</v>
      </c>
      <c r="I97" s="44">
        <v>379.49900000000002</v>
      </c>
      <c r="J97" s="48">
        <f>'Balance Sheet - FY'!D97</f>
        <v>436.75200000000001</v>
      </c>
      <c r="K97" s="44">
        <f>401.425-80.3</f>
        <v>321.125</v>
      </c>
      <c r="L97" s="44">
        <f>413.515-73.4</f>
        <v>340.11500000000001</v>
      </c>
      <c r="M97" s="44">
        <f>375.28-54.9</f>
        <v>320.38</v>
      </c>
      <c r="N97" s="48">
        <f>'Balance Sheet - FY'!E97</f>
        <v>293.15700000000004</v>
      </c>
      <c r="O97" s="44">
        <f>340.79-59.8</f>
        <v>280.99</v>
      </c>
      <c r="P97" s="44">
        <f>330.798-46.9</f>
        <v>283.89800000000002</v>
      </c>
      <c r="Q97" s="44">
        <f>372.878-32.6</f>
        <v>340.27799999999996</v>
      </c>
      <c r="R97" s="48">
        <f>'Balance Sheet - FY'!F97</f>
        <v>325.26600000000002</v>
      </c>
      <c r="S97" s="44">
        <f>358.09-52.1</f>
        <v>305.98999999999995</v>
      </c>
      <c r="T97" s="44">
        <f>440.869-79.8</f>
        <v>361.06900000000002</v>
      </c>
      <c r="U97" s="44">
        <f>364.373-48.2</f>
        <v>316.173</v>
      </c>
      <c r="V97" s="48">
        <f>'Balance Sheet - FY'!G97</f>
        <v>314.20299999999997</v>
      </c>
      <c r="W97" s="44">
        <v>321.67</v>
      </c>
      <c r="X97" s="44">
        <v>288.67200000000003</v>
      </c>
      <c r="Y97" s="44">
        <v>341.98</v>
      </c>
      <c r="Z97" s="48">
        <f>'Balance Sheet - FY'!H97</f>
        <v>405.57827400000104</v>
      </c>
      <c r="AA97" s="44">
        <v>463.21</v>
      </c>
      <c r="AB97" s="44">
        <v>582.44399999999996</v>
      </c>
      <c r="AC97" s="44">
        <v>368.54563499999949</v>
      </c>
      <c r="AD97" s="48">
        <f>+'Balance Sheet - FY'!I97</f>
        <v>412.17326800000001</v>
      </c>
      <c r="AE97" s="162">
        <v>463.11792300000002</v>
      </c>
      <c r="AF97" s="44">
        <v>402.60379799999998</v>
      </c>
      <c r="AG97" s="44">
        <v>361.78902699999998</v>
      </c>
      <c r="AH97" s="48">
        <f>'Balance Sheet - FY'!J97</f>
        <v>392.74410999999998</v>
      </c>
      <c r="AI97" s="44">
        <v>417.36361399999998</v>
      </c>
      <c r="AJ97" s="44">
        <v>334.343501</v>
      </c>
      <c r="AK97" s="44">
        <v>324.50299600000005</v>
      </c>
      <c r="AL97" s="33">
        <f>'Balance Sheet - FY'!K97</f>
        <v>375.58600000000001</v>
      </c>
    </row>
    <row r="98" spans="1:38" hidden="1" outlineLevel="1">
      <c r="A98" s="40" t="s">
        <v>65</v>
      </c>
      <c r="B98" s="12"/>
      <c r="C98" s="44">
        <v>38.603000000000002</v>
      </c>
      <c r="D98" s="44">
        <v>56.116</v>
      </c>
      <c r="E98" s="44">
        <v>37.042999999999999</v>
      </c>
      <c r="F98" s="48">
        <f>'Balance Sheet - FY'!C98</f>
        <v>45.832999999999998</v>
      </c>
      <c r="G98" s="44">
        <v>46.167999999999999</v>
      </c>
      <c r="H98" s="44">
        <v>49.606000000000002</v>
      </c>
      <c r="I98" s="44">
        <v>38.454999999999998</v>
      </c>
      <c r="J98" s="48">
        <f>'Balance Sheet - FY'!D98</f>
        <v>33.875999999999998</v>
      </c>
      <c r="K98" s="44">
        <v>36.533999999999999</v>
      </c>
      <c r="L98" s="44">
        <v>30.34</v>
      </c>
      <c r="M98" s="44">
        <v>27.649000000000001</v>
      </c>
      <c r="N98" s="48">
        <f>'Balance Sheet - FY'!E98</f>
        <v>43.527999999999999</v>
      </c>
      <c r="O98" s="44">
        <v>38.295999999999999</v>
      </c>
      <c r="P98" s="44">
        <v>44.91</v>
      </c>
      <c r="Q98" s="44">
        <v>52.883000000000003</v>
      </c>
      <c r="R98" s="48">
        <f>'Balance Sheet - FY'!F98</f>
        <v>48.082999999999998</v>
      </c>
      <c r="S98" s="44">
        <v>54.917999999999999</v>
      </c>
      <c r="T98" s="44">
        <v>52.607999999999997</v>
      </c>
      <c r="U98" s="44">
        <v>39.521000000000001</v>
      </c>
      <c r="V98" s="48">
        <f>'Balance Sheet - FY'!G98</f>
        <v>43.594000000000001</v>
      </c>
      <c r="W98" s="44">
        <v>40.08</v>
      </c>
      <c r="X98" s="44">
        <v>61.646000000000001</v>
      </c>
      <c r="Y98" s="44">
        <v>65.290000000000006</v>
      </c>
      <c r="Z98" s="48">
        <f>'Balance Sheet - FY'!H98</f>
        <v>41.250008000000001</v>
      </c>
      <c r="AA98" s="44">
        <v>36.81</v>
      </c>
      <c r="AB98" s="44">
        <v>48.185000000000002</v>
      </c>
      <c r="AC98" s="44">
        <v>46.560906000000003</v>
      </c>
      <c r="AD98" s="48">
        <f>+'Balance Sheet - FY'!I98</f>
        <v>35.322690999999999</v>
      </c>
      <c r="AE98" s="162">
        <v>31.344038000000001</v>
      </c>
      <c r="AF98" s="44">
        <v>35.305363</v>
      </c>
      <c r="AG98" s="44">
        <v>37.317270999999998</v>
      </c>
      <c r="AH98" s="48">
        <f>'Balance Sheet - FY'!J98</f>
        <v>31.363358000000002</v>
      </c>
      <c r="AI98" s="44">
        <v>28.976248999999999</v>
      </c>
      <c r="AJ98" s="44">
        <v>35.167265</v>
      </c>
      <c r="AK98" s="44">
        <v>36.879916999999999</v>
      </c>
      <c r="AL98" s="33">
        <f>'Balance Sheet - FY'!K98</f>
        <v>47.280999999999999</v>
      </c>
    </row>
    <row r="99" spans="1:38" hidden="1" outlineLevel="1">
      <c r="A99" s="40" t="s">
        <v>254</v>
      </c>
      <c r="B99" s="12"/>
      <c r="C99" s="44">
        <v>0</v>
      </c>
      <c r="D99" s="44">
        <v>0</v>
      </c>
      <c r="E99" s="44">
        <v>0</v>
      </c>
      <c r="F99" s="48">
        <f>'Balance Sheet - FY'!C99</f>
        <v>0</v>
      </c>
      <c r="G99" s="44">
        <v>3.3</v>
      </c>
      <c r="H99" s="44">
        <v>0.76800000000000002</v>
      </c>
      <c r="I99" s="44">
        <v>3.1589999999999998</v>
      </c>
      <c r="J99" s="48">
        <f>'Balance Sheet - FY'!D99</f>
        <v>5.4749999999999996</v>
      </c>
      <c r="K99" s="44">
        <v>7.7869999999999999</v>
      </c>
      <c r="L99" s="44">
        <v>0.628</v>
      </c>
      <c r="M99" s="44">
        <v>2.5510000000000002</v>
      </c>
      <c r="N99" s="48">
        <f>'Balance Sheet - FY'!E99</f>
        <v>4.1040000000000001</v>
      </c>
      <c r="O99" s="44">
        <v>5.9710000000000001</v>
      </c>
      <c r="P99" s="44">
        <v>0.83399999999999996</v>
      </c>
      <c r="Q99" s="44">
        <v>2.8479999999999999</v>
      </c>
      <c r="R99" s="48">
        <f>'Balance Sheet - FY'!F99</f>
        <v>5.0129999999999999</v>
      </c>
      <c r="S99" s="44">
        <v>7.3380000000000001</v>
      </c>
      <c r="T99" s="44">
        <v>0</v>
      </c>
      <c r="U99" s="44">
        <v>0</v>
      </c>
      <c r="V99" s="48">
        <f>'Balance Sheet - FY'!G99</f>
        <v>0</v>
      </c>
      <c r="W99" s="44">
        <v>0</v>
      </c>
      <c r="X99" s="44">
        <v>52.728000000000002</v>
      </c>
      <c r="Y99" s="44">
        <v>58.09</v>
      </c>
      <c r="Z99" s="48">
        <f>'Balance Sheet - FY'!H99</f>
        <v>0</v>
      </c>
      <c r="AA99" s="44">
        <v>0</v>
      </c>
      <c r="AB99" s="44">
        <v>30.558</v>
      </c>
      <c r="AC99" s="44">
        <v>31.294245</v>
      </c>
      <c r="AD99" s="48">
        <f>+'Balance Sheet - FY'!I99</f>
        <v>0.82017100000000009</v>
      </c>
      <c r="AE99" s="162">
        <v>0.86197599999999996</v>
      </c>
      <c r="AF99" s="44">
        <v>30.067257000000001</v>
      </c>
      <c r="AG99" s="44">
        <v>35.144154</v>
      </c>
      <c r="AH99" s="48">
        <f>'Balance Sheet - FY'!J99</f>
        <v>0.55659900000000007</v>
      </c>
      <c r="AI99" s="44">
        <v>1.53051</v>
      </c>
      <c r="AJ99" s="44">
        <v>34.343623999999998</v>
      </c>
      <c r="AK99" s="44">
        <v>35.722182999999994</v>
      </c>
      <c r="AL99" s="33">
        <f>'Balance Sheet - FY'!K99</f>
        <v>4.6382E-2</v>
      </c>
    </row>
    <row r="100" spans="1:38" hidden="1" outlineLevel="1">
      <c r="A100" s="40" t="s">
        <v>66</v>
      </c>
      <c r="B100" s="12"/>
      <c r="C100" s="44">
        <v>68.361999999999995</v>
      </c>
      <c r="D100" s="44">
        <v>43.317</v>
      </c>
      <c r="E100" s="44">
        <v>32.344999999999999</v>
      </c>
      <c r="F100" s="48">
        <f>'Balance Sheet - FY'!C100</f>
        <v>48.415999999999997</v>
      </c>
      <c r="G100" s="44">
        <v>55.067999999999998</v>
      </c>
      <c r="H100" s="44">
        <v>39.088000000000001</v>
      </c>
      <c r="I100" s="44">
        <v>92.376000000000005</v>
      </c>
      <c r="J100" s="48">
        <f>'Balance Sheet - FY'!D100</f>
        <v>65.503</v>
      </c>
      <c r="K100" s="44">
        <v>54.011000000000003</v>
      </c>
      <c r="L100" s="44">
        <v>81.896000000000001</v>
      </c>
      <c r="M100" s="44">
        <v>85.304000000000002</v>
      </c>
      <c r="N100" s="48">
        <f>'Balance Sheet - FY'!E100</f>
        <v>81.766000000000005</v>
      </c>
      <c r="O100" s="44">
        <v>77.47</v>
      </c>
      <c r="P100" s="44">
        <v>69.369</v>
      </c>
      <c r="Q100" s="44">
        <v>74.251000000000005</v>
      </c>
      <c r="R100" s="48">
        <f>'Balance Sheet - FY'!F100</f>
        <v>99.504999999999995</v>
      </c>
      <c r="S100" s="44">
        <v>104.489</v>
      </c>
      <c r="T100" s="44">
        <v>138.36799999999999</v>
      </c>
      <c r="U100" s="44">
        <v>147.024</v>
      </c>
      <c r="V100" s="48">
        <f>'Balance Sheet - FY'!G100</f>
        <v>134.38800000000001</v>
      </c>
      <c r="W100" s="44">
        <v>151.41800000000001</v>
      </c>
      <c r="X100" s="44">
        <v>143.56700000000001</v>
      </c>
      <c r="Y100" s="44">
        <v>170.1</v>
      </c>
      <c r="Z100" s="48">
        <f>'Balance Sheet - FY'!H100</f>
        <v>102.104495</v>
      </c>
      <c r="AA100" s="44">
        <v>116.48</v>
      </c>
      <c r="AB100" s="44">
        <v>131.87899999999999</v>
      </c>
      <c r="AC100" s="44">
        <v>120.647322</v>
      </c>
      <c r="AD100" s="48">
        <f>+'Balance Sheet - FY'!I100</f>
        <v>105.192531</v>
      </c>
      <c r="AE100" s="162">
        <v>99.483835000000013</v>
      </c>
      <c r="AF100" s="44">
        <v>105.67299899999999</v>
      </c>
      <c r="AG100" s="44">
        <v>132.46416399999998</v>
      </c>
      <c r="AH100" s="48">
        <f>'Balance Sheet - FY'!J100</f>
        <v>63.150044000000001</v>
      </c>
      <c r="AI100" s="44">
        <v>90.834767999999997</v>
      </c>
      <c r="AJ100" s="44">
        <v>128.82025400000001</v>
      </c>
      <c r="AK100" s="44">
        <v>174.052976</v>
      </c>
      <c r="AL100" s="33">
        <f>'Balance Sheet - FY'!K100</f>
        <v>132.29600500000001</v>
      </c>
    </row>
    <row r="101" spans="1:38" hidden="1" outlineLevel="2">
      <c r="A101" s="55" t="s">
        <v>102</v>
      </c>
      <c r="B101" s="12"/>
      <c r="C101" s="44">
        <v>29.254000000000001</v>
      </c>
      <c r="D101" s="44">
        <v>17.702000000000002</v>
      </c>
      <c r="E101" s="44">
        <v>41.767000000000003</v>
      </c>
      <c r="F101" s="48">
        <f>'Balance Sheet - FY'!C101</f>
        <v>11.247999999999999</v>
      </c>
      <c r="G101" s="44">
        <v>23.564</v>
      </c>
      <c r="H101" s="44">
        <v>26.373000000000001</v>
      </c>
      <c r="I101" s="44">
        <v>21.818000000000001</v>
      </c>
      <c r="J101" s="48">
        <f>'Balance Sheet - FY'!D101</f>
        <v>53.51</v>
      </c>
      <c r="K101" s="44">
        <v>27.242999999999999</v>
      </c>
      <c r="L101" s="44">
        <v>34.423999999999999</v>
      </c>
      <c r="M101" s="44">
        <v>31.716000000000001</v>
      </c>
      <c r="N101" s="48">
        <f>'Balance Sheet - FY'!E101</f>
        <v>31.702999999999999</v>
      </c>
      <c r="O101" s="44">
        <v>30.265999999999998</v>
      </c>
      <c r="P101" s="44">
        <v>25.696999999999999</v>
      </c>
      <c r="Q101" s="44">
        <v>26.71</v>
      </c>
      <c r="R101" s="48">
        <f>'Balance Sheet - FY'!F101</f>
        <v>32.499000000000002</v>
      </c>
      <c r="S101" s="44">
        <v>47.773000000000003</v>
      </c>
      <c r="T101" s="44">
        <v>82.16</v>
      </c>
      <c r="U101" s="44">
        <v>44.302999999999997</v>
      </c>
      <c r="V101" s="48">
        <f>'Balance Sheet - FY'!G101</f>
        <v>10.331</v>
      </c>
      <c r="W101" s="44">
        <v>103.625</v>
      </c>
      <c r="X101" s="44">
        <v>68.617999999999995</v>
      </c>
      <c r="Y101" s="44">
        <v>37.6</v>
      </c>
      <c r="Z101" s="48">
        <f>'Balance Sheet - FY'!H101</f>
        <v>15.1</v>
      </c>
      <c r="AA101" s="44">
        <v>28.742999999999999</v>
      </c>
      <c r="AB101" s="44">
        <v>45.164000000000001</v>
      </c>
      <c r="AC101" s="44">
        <f>32.733-1.6</f>
        <v>31.132999999999996</v>
      </c>
      <c r="AD101" s="48">
        <f>+'Balance Sheet - FY'!I101</f>
        <v>18.184000000000001</v>
      </c>
      <c r="AE101" s="162">
        <v>15.573</v>
      </c>
      <c r="AF101" s="44">
        <v>11.6</v>
      </c>
      <c r="AG101" s="44">
        <v>14.193</v>
      </c>
      <c r="AH101" s="48">
        <f>'Balance Sheet - FY'!J101</f>
        <v>3.5030000000000001</v>
      </c>
      <c r="AI101" s="44">
        <v>31.754000000000001</v>
      </c>
      <c r="AJ101" s="44">
        <v>58.44</v>
      </c>
      <c r="AK101" s="44">
        <v>46.444000000000003</v>
      </c>
      <c r="AL101" s="33">
        <f>'Balance Sheet - FY'!K101</f>
        <v>2.6480000000000001</v>
      </c>
    </row>
    <row r="102" spans="1:38" hidden="1" outlineLevel="2">
      <c r="A102" s="55" t="s">
        <v>103</v>
      </c>
      <c r="B102" s="12"/>
      <c r="C102" s="44">
        <v>12.196999999999999</v>
      </c>
      <c r="D102" s="44">
        <v>19.315999999999999</v>
      </c>
      <c r="E102" s="44">
        <v>16.978999999999999</v>
      </c>
      <c r="F102" s="48">
        <f>'Balance Sheet - FY'!C102</f>
        <v>6.6620000000000008</v>
      </c>
      <c r="G102" s="44">
        <v>6.3000000000000007</v>
      </c>
      <c r="H102" s="44">
        <v>5.8039999999999985</v>
      </c>
      <c r="I102" s="44">
        <v>9.1890000000000001</v>
      </c>
      <c r="J102" s="48">
        <f>'Balance Sheet - FY'!D102</f>
        <v>6.0919999999999987</v>
      </c>
      <c r="K102" s="44">
        <v>7.3030000000000008</v>
      </c>
      <c r="L102" s="44">
        <v>5.963000000000001</v>
      </c>
      <c r="M102" s="44">
        <v>8.4309999999999992</v>
      </c>
      <c r="N102" s="48">
        <f>'Balance Sheet - FY'!E102</f>
        <v>9.7240000000000002</v>
      </c>
      <c r="O102" s="44">
        <v>15.914000000000001</v>
      </c>
      <c r="P102" s="44">
        <v>4.2729999999999997</v>
      </c>
      <c r="Q102" s="44">
        <v>7.3729999999999976</v>
      </c>
      <c r="R102" s="48">
        <f>'Balance Sheet - FY'!F102</f>
        <v>5.1869999999999976</v>
      </c>
      <c r="S102" s="44">
        <v>6.9639999999999986</v>
      </c>
      <c r="T102" s="44">
        <v>6.1820000000000004</v>
      </c>
      <c r="U102" s="44">
        <v>6.9430000000000049</v>
      </c>
      <c r="V102" s="48">
        <f>'Balance Sheet - FY'!G102</f>
        <v>5.8569999999999993</v>
      </c>
      <c r="W102" s="44">
        <v>4.8700000000000045</v>
      </c>
      <c r="X102" s="44">
        <f>76.035-X101</f>
        <v>7.4170000000000016</v>
      </c>
      <c r="Y102" s="44">
        <v>8.8000000000000007</v>
      </c>
      <c r="Z102" s="48">
        <f>'Balance Sheet - FY'!H102</f>
        <v>4.5119999999999996</v>
      </c>
      <c r="AA102" s="44">
        <f>32.599-AA101</f>
        <v>3.8559999999999981</v>
      </c>
      <c r="AB102" s="156">
        <v>3.75</v>
      </c>
      <c r="AC102" s="156">
        <v>10.528809000000003</v>
      </c>
      <c r="AD102" s="48">
        <f>+'Balance Sheet - FY'!I102</f>
        <v>3.0578669999999981</v>
      </c>
      <c r="AE102" s="165">
        <f>19.394332-AE101</f>
        <v>3.8213319999999982</v>
      </c>
      <c r="AF102" s="44">
        <v>11.1</v>
      </c>
      <c r="AG102" s="44">
        <v>8.0640000000000018</v>
      </c>
      <c r="AH102" s="48">
        <f>'Balance Sheet - FY'!J102</f>
        <v>6.6175490000000003</v>
      </c>
      <c r="AI102" s="44">
        <v>7.5849999999999973</v>
      </c>
      <c r="AJ102" s="44">
        <f>65.557-AJ101</f>
        <v>7.1170000000000044</v>
      </c>
      <c r="AK102" s="44">
        <f>49.492-AK101</f>
        <v>3.0479999999999947</v>
      </c>
      <c r="AL102" s="33">
        <f>'Balance Sheet - FY'!K102</f>
        <v>3.4860000000000002</v>
      </c>
    </row>
    <row r="103" spans="1:38" hidden="1" outlineLevel="1">
      <c r="A103" s="40" t="s">
        <v>57</v>
      </c>
      <c r="B103" s="12"/>
      <c r="C103" s="51">
        <f t="shared" ref="C103:AC103" si="199">IFERROR(C101+C102,"n.a.")</f>
        <v>41.451000000000001</v>
      </c>
      <c r="D103" s="51">
        <f t="shared" si="199"/>
        <v>37.018000000000001</v>
      </c>
      <c r="E103" s="51">
        <f t="shared" si="199"/>
        <v>58.746000000000002</v>
      </c>
      <c r="F103" s="51">
        <f t="shared" si="199"/>
        <v>17.91</v>
      </c>
      <c r="G103" s="51">
        <f t="shared" si="199"/>
        <v>29.864000000000001</v>
      </c>
      <c r="H103" s="51">
        <f t="shared" si="199"/>
        <v>32.177</v>
      </c>
      <c r="I103" s="51">
        <f t="shared" si="199"/>
        <v>31.007000000000001</v>
      </c>
      <c r="J103" s="51">
        <f t="shared" si="199"/>
        <v>59.601999999999997</v>
      </c>
      <c r="K103" s="51">
        <f t="shared" si="199"/>
        <v>34.545999999999999</v>
      </c>
      <c r="L103" s="51">
        <f t="shared" si="199"/>
        <v>40.387</v>
      </c>
      <c r="M103" s="51">
        <f t="shared" si="199"/>
        <v>40.146999999999998</v>
      </c>
      <c r="N103" s="51">
        <f t="shared" si="199"/>
        <v>41.427</v>
      </c>
      <c r="O103" s="51">
        <f t="shared" si="199"/>
        <v>46.18</v>
      </c>
      <c r="P103" s="51">
        <f t="shared" si="199"/>
        <v>29.97</v>
      </c>
      <c r="Q103" s="51">
        <f t="shared" si="199"/>
        <v>34.082999999999998</v>
      </c>
      <c r="R103" s="51">
        <f t="shared" si="199"/>
        <v>37.686</v>
      </c>
      <c r="S103" s="51">
        <f t="shared" si="199"/>
        <v>54.737000000000002</v>
      </c>
      <c r="T103" s="51">
        <f t="shared" si="199"/>
        <v>88.341999999999999</v>
      </c>
      <c r="U103" s="51">
        <f t="shared" si="199"/>
        <v>51.246000000000002</v>
      </c>
      <c r="V103" s="51">
        <f t="shared" si="199"/>
        <v>16.187999999999999</v>
      </c>
      <c r="W103" s="51">
        <f t="shared" si="199"/>
        <v>108.495</v>
      </c>
      <c r="X103" s="51">
        <f t="shared" si="199"/>
        <v>76.034999999999997</v>
      </c>
      <c r="Y103" s="51">
        <f t="shared" si="199"/>
        <v>46.400000000000006</v>
      </c>
      <c r="Z103" s="51">
        <f t="shared" si="199"/>
        <v>19.611999999999998</v>
      </c>
      <c r="AA103" s="51">
        <f t="shared" si="199"/>
        <v>32.598999999999997</v>
      </c>
      <c r="AB103" s="51">
        <f t="shared" si="199"/>
        <v>48.914000000000001</v>
      </c>
      <c r="AC103" s="51">
        <f t="shared" si="199"/>
        <v>41.661808999999998</v>
      </c>
      <c r="AD103" s="51">
        <f t="shared" ref="AD103:AH103" si="200">IFERROR(AD101+AD102,"n.a.")</f>
        <v>21.241866999999999</v>
      </c>
      <c r="AE103" s="51">
        <f t="shared" si="200"/>
        <v>19.394331999999999</v>
      </c>
      <c r="AF103" s="51">
        <f t="shared" si="200"/>
        <v>22.7</v>
      </c>
      <c r="AG103" s="51">
        <f t="shared" si="200"/>
        <v>22.257000000000001</v>
      </c>
      <c r="AH103" s="51">
        <f t="shared" si="200"/>
        <v>10.120549</v>
      </c>
      <c r="AI103" s="51">
        <v>39.338782000000002</v>
      </c>
      <c r="AJ103" s="51">
        <f t="shared" ref="AJ103:AK103" si="201">IFERROR(AJ101+AJ102,"n.a.")</f>
        <v>65.557000000000002</v>
      </c>
      <c r="AK103" s="51">
        <f t="shared" si="201"/>
        <v>49.491999999999997</v>
      </c>
      <c r="AL103" s="51">
        <f t="shared" ref="AL103" si="202">IFERROR(AL101+AL102,"n.a.")</f>
        <v>6.1340000000000003</v>
      </c>
    </row>
    <row r="104" spans="1:38" s="14" customFormat="1" ht="13" collapsed="1">
      <c r="A104" s="57" t="s">
        <v>6</v>
      </c>
      <c r="B104" s="53"/>
      <c r="C104" s="54">
        <f t="shared" ref="C104:I104" si="203">IFERROR(C94+C95+C96+C97+C98+C99+C100+C103,"n.a.")</f>
        <v>3382.857</v>
      </c>
      <c r="D104" s="54">
        <f t="shared" si="203"/>
        <v>2200.0140000000001</v>
      </c>
      <c r="E104" s="54">
        <f t="shared" si="203"/>
        <v>2243.4180000000001</v>
      </c>
      <c r="F104" s="54">
        <f t="shared" si="203"/>
        <v>2910.2240000000002</v>
      </c>
      <c r="G104" s="54">
        <f t="shared" si="203"/>
        <v>2526.7200000000003</v>
      </c>
      <c r="H104" s="54">
        <f t="shared" si="203"/>
        <v>2469.0120000000006</v>
      </c>
      <c r="I104" s="54">
        <f t="shared" si="203"/>
        <v>2373.8310000000001</v>
      </c>
      <c r="J104" s="54">
        <f t="shared" ref="J104:AC104" si="204">IFERROR(J94+J95+J96+J97+J98+J99+J100+J103,"n.a.")</f>
        <v>3006.03</v>
      </c>
      <c r="K104" s="54">
        <f t="shared" si="204"/>
        <v>2717.8629999999994</v>
      </c>
      <c r="L104" s="54">
        <f t="shared" si="204"/>
        <v>3166.418000000001</v>
      </c>
      <c r="M104" s="54">
        <f t="shared" si="204"/>
        <v>3131.7860000000001</v>
      </c>
      <c r="N104" s="54">
        <f t="shared" si="204"/>
        <v>3604.473</v>
      </c>
      <c r="O104" s="54">
        <f t="shared" si="204"/>
        <v>2666.7149999999992</v>
      </c>
      <c r="P104" s="54">
        <f t="shared" si="204"/>
        <v>2516.6099999999997</v>
      </c>
      <c r="Q104" s="54">
        <f t="shared" si="204"/>
        <v>2504.0029999999997</v>
      </c>
      <c r="R104" s="54">
        <f t="shared" si="204"/>
        <v>2716.0910000000003</v>
      </c>
      <c r="S104" s="54">
        <f t="shared" si="204"/>
        <v>1980.2050000000002</v>
      </c>
      <c r="T104" s="54">
        <f t="shared" si="204"/>
        <v>3071.9929999999999</v>
      </c>
      <c r="U104" s="54">
        <f t="shared" si="204"/>
        <v>3179.9610000000002</v>
      </c>
      <c r="V104" s="54">
        <f t="shared" si="204"/>
        <v>3623.989</v>
      </c>
      <c r="W104" s="54">
        <f t="shared" si="204"/>
        <v>3033.5970000000002</v>
      </c>
      <c r="X104" s="54">
        <f t="shared" si="204"/>
        <v>3317.3829999999998</v>
      </c>
      <c r="Y104" s="54">
        <f t="shared" si="204"/>
        <v>3944.19</v>
      </c>
      <c r="Z104" s="54">
        <f t="shared" si="204"/>
        <v>3342.229741000001</v>
      </c>
      <c r="AA104" s="54">
        <f t="shared" si="204"/>
        <v>3566.7489999999998</v>
      </c>
      <c r="AB104" s="54">
        <f t="shared" si="204"/>
        <v>3720.5930000000003</v>
      </c>
      <c r="AC104" s="54">
        <f t="shared" si="204"/>
        <v>2783.1293529999998</v>
      </c>
      <c r="AD104" s="54">
        <f>+'Balance Sheet - FY'!I104</f>
        <v>3363.6958089999998</v>
      </c>
      <c r="AE104" s="54">
        <f t="shared" ref="AE104:AG104" si="205">IFERROR(AE94+AE95+AE96+AE97+AE98+AE99+AE100+AE103,"n.a.")</f>
        <v>2868.2633519999999</v>
      </c>
      <c r="AF104" s="54">
        <f t="shared" si="205"/>
        <v>3281.0176229999997</v>
      </c>
      <c r="AG104" s="54">
        <f t="shared" si="205"/>
        <v>2604.8235839999998</v>
      </c>
      <c r="AH104" s="54">
        <f>'Balance Sheet - FY'!J104</f>
        <v>3340.4085480000003</v>
      </c>
      <c r="AI104" s="54">
        <f t="shared" ref="AI104:AJ104" si="206">IFERROR(AI94+AI95+AI96+AI97+AI98+AI99+AI100+AI103,"n.a.")</f>
        <v>3244.2930879999999</v>
      </c>
      <c r="AJ104" s="54">
        <f t="shared" si="206"/>
        <v>3221.4753429999996</v>
      </c>
      <c r="AK104" s="54">
        <f t="shared" ref="AK104:AL104" si="207">IFERROR(AK94+AK95+AK96+AK97+AK98+AK99+AK100+AK103,"n.a.")</f>
        <v>3228.2252870000002</v>
      </c>
      <c r="AL104" s="54">
        <f t="shared" si="207"/>
        <v>2854.3877610000004</v>
      </c>
    </row>
    <row r="105" spans="1:38" hidden="1" outlineLevel="1">
      <c r="A105" s="16" t="s">
        <v>7</v>
      </c>
      <c r="B105" s="12"/>
      <c r="C105" s="44">
        <v>39.966999999999999</v>
      </c>
      <c r="D105" s="44"/>
      <c r="E105" s="44">
        <v>92.775999999999996</v>
      </c>
      <c r="F105" s="48">
        <f>'Balance Sheet - FY'!C105</f>
        <v>0</v>
      </c>
      <c r="G105" s="44">
        <v>0</v>
      </c>
      <c r="H105" s="44">
        <v>0</v>
      </c>
      <c r="I105" s="44">
        <v>0</v>
      </c>
      <c r="J105" s="48">
        <f>'Balance Sheet - FY'!D105</f>
        <v>0</v>
      </c>
      <c r="K105" s="44">
        <v>0</v>
      </c>
      <c r="L105" s="44">
        <v>0</v>
      </c>
      <c r="M105" s="44">
        <v>0</v>
      </c>
      <c r="N105" s="48">
        <f>'Balance Sheet - FY'!E105</f>
        <v>0</v>
      </c>
      <c r="O105" s="44">
        <v>0</v>
      </c>
      <c r="P105" s="44">
        <v>0</v>
      </c>
      <c r="Q105" s="44">
        <v>0</v>
      </c>
      <c r="R105" s="48">
        <f>'Balance Sheet - FY'!F105</f>
        <v>0</v>
      </c>
      <c r="S105" s="44">
        <v>0</v>
      </c>
      <c r="T105" s="44">
        <v>0</v>
      </c>
      <c r="U105" s="44">
        <v>0</v>
      </c>
      <c r="V105" s="48">
        <f>'Balance Sheet - FY'!G105</f>
        <v>0</v>
      </c>
      <c r="W105" s="44">
        <v>0</v>
      </c>
      <c r="X105" s="44">
        <v>0</v>
      </c>
      <c r="Y105" s="44"/>
      <c r="Z105" s="48">
        <f>'Balance Sheet - FY'!H105</f>
        <v>0</v>
      </c>
      <c r="AA105" s="44">
        <v>0</v>
      </c>
      <c r="AB105" s="44">
        <v>0</v>
      </c>
      <c r="AC105" s="44">
        <v>0</v>
      </c>
      <c r="AD105" s="48">
        <f>+'Balance Sheet - FY'!I105</f>
        <v>0</v>
      </c>
      <c r="AE105" s="44">
        <v>0</v>
      </c>
      <c r="AF105" s="44">
        <v>0</v>
      </c>
      <c r="AG105" s="44">
        <v>0</v>
      </c>
      <c r="AH105" s="48">
        <f>'Balance Sheet - FY'!J105</f>
        <v>0</v>
      </c>
      <c r="AI105" s="44">
        <v>0</v>
      </c>
      <c r="AJ105" s="44">
        <v>0</v>
      </c>
      <c r="AK105" s="44">
        <v>0</v>
      </c>
      <c r="AL105" s="33">
        <f>'Balance Sheet - FY'!K105</f>
        <v>0</v>
      </c>
    </row>
    <row r="106" spans="1:38" s="14" customFormat="1" ht="13" collapsed="1">
      <c r="A106" s="64" t="s">
        <v>67</v>
      </c>
      <c r="B106" s="64"/>
      <c r="C106" s="65">
        <f t="shared" ref="C106:I106" si="208">IFERROR(C93+C104+C105,"n.a.")</f>
        <v>9719.9360000000015</v>
      </c>
      <c r="D106" s="65">
        <f t="shared" si="208"/>
        <v>8371.3719999999994</v>
      </c>
      <c r="E106" s="65">
        <f t="shared" si="208"/>
        <v>8382.01</v>
      </c>
      <c r="F106" s="65">
        <f t="shared" si="208"/>
        <v>8556.9060000000009</v>
      </c>
      <c r="G106" s="65">
        <f t="shared" si="208"/>
        <v>8006.3850000000002</v>
      </c>
      <c r="H106" s="65">
        <f t="shared" si="208"/>
        <v>7885.4640000000018</v>
      </c>
      <c r="I106" s="65">
        <f t="shared" si="208"/>
        <v>7865.9610000000002</v>
      </c>
      <c r="J106" s="65">
        <f t="shared" ref="J106:AC106" si="209">IFERROR(J93+J104+J105,"n.a.")</f>
        <v>8480.77</v>
      </c>
      <c r="K106" s="65">
        <f t="shared" si="209"/>
        <v>8785.0759999999991</v>
      </c>
      <c r="L106" s="65">
        <f t="shared" si="209"/>
        <v>8712.4380000000001</v>
      </c>
      <c r="M106" s="65">
        <f t="shared" si="209"/>
        <v>8744.3110000000015</v>
      </c>
      <c r="N106" s="65">
        <f t="shared" si="209"/>
        <v>9107.8230000000003</v>
      </c>
      <c r="O106" s="65">
        <f t="shared" si="209"/>
        <v>8502.0789999999979</v>
      </c>
      <c r="P106" s="65">
        <f t="shared" si="209"/>
        <v>8912.348</v>
      </c>
      <c r="Q106" s="65">
        <f t="shared" si="209"/>
        <v>8525.128999999999</v>
      </c>
      <c r="R106" s="65">
        <f t="shared" si="209"/>
        <v>9186.739999999998</v>
      </c>
      <c r="S106" s="65">
        <f t="shared" si="209"/>
        <v>7866.4479999999994</v>
      </c>
      <c r="T106" s="65">
        <f t="shared" si="209"/>
        <v>8015.6859999999997</v>
      </c>
      <c r="U106" s="65">
        <f t="shared" si="209"/>
        <v>7915.3939999999993</v>
      </c>
      <c r="V106" s="65">
        <f t="shared" si="209"/>
        <v>8840.5339999999997</v>
      </c>
      <c r="W106" s="65">
        <f t="shared" si="209"/>
        <v>8102.9009999999998</v>
      </c>
      <c r="X106" s="65">
        <f t="shared" si="209"/>
        <v>8317.8470000000016</v>
      </c>
      <c r="Y106" s="65">
        <f t="shared" si="209"/>
        <v>9001.5550000000003</v>
      </c>
      <c r="Z106" s="65">
        <f t="shared" si="209"/>
        <v>8443.7766990000018</v>
      </c>
      <c r="AA106" s="65">
        <f t="shared" si="209"/>
        <v>8248.2010000000009</v>
      </c>
      <c r="AB106" s="65">
        <f t="shared" si="209"/>
        <v>8371.9570000000003</v>
      </c>
      <c r="AC106" s="65">
        <f t="shared" si="209"/>
        <v>7741.3300180000006</v>
      </c>
      <c r="AD106" s="65">
        <f t="shared" ref="AD106:AG106" si="210">IFERROR(AD93+AD104+AD105,"n.a.")</f>
        <v>7911.3330579999993</v>
      </c>
      <c r="AE106" s="65">
        <f t="shared" si="210"/>
        <v>7596.6876409999995</v>
      </c>
      <c r="AF106" s="65">
        <f t="shared" si="210"/>
        <v>7572.7814409999992</v>
      </c>
      <c r="AG106" s="65">
        <f t="shared" si="210"/>
        <v>7481.1838909999997</v>
      </c>
      <c r="AH106" s="65">
        <f t="shared" ref="AH106:AJ106" si="211">IFERROR(AH93+AH104+AH105,"n.a.")</f>
        <v>7768.3673160000017</v>
      </c>
      <c r="AI106" s="65">
        <f t="shared" si="211"/>
        <v>7365.4208789999993</v>
      </c>
      <c r="AJ106" s="65">
        <f t="shared" si="211"/>
        <v>7265.2139189999998</v>
      </c>
      <c r="AK106" s="65">
        <f t="shared" ref="AK106:AL106" si="212">IFERROR(AK93+AK104+AK105,"n.a.")</f>
        <v>7265.288082</v>
      </c>
      <c r="AL106" s="65">
        <f t="shared" si="212"/>
        <v>6896.4463960000012</v>
      </c>
    </row>
    <row r="108" spans="1:38" hidden="1" outlineLevel="1">
      <c r="A108" s="41" t="s">
        <v>59</v>
      </c>
      <c r="B108" s="17"/>
      <c r="C108" s="43">
        <v>1342.2809999999999</v>
      </c>
      <c r="D108" s="43">
        <v>1904.375</v>
      </c>
      <c r="E108" s="43">
        <v>1904.375</v>
      </c>
      <c r="F108" s="33">
        <f>'Balance Sheet - FY'!C108</f>
        <v>1904.375</v>
      </c>
      <c r="G108" s="43">
        <v>1904.375</v>
      </c>
      <c r="H108" s="43">
        <v>1904.375</v>
      </c>
      <c r="I108" s="43">
        <v>1904.375</v>
      </c>
      <c r="J108" s="33">
        <f>'Balance Sheet - FY'!D108</f>
        <v>1904.375</v>
      </c>
      <c r="K108" s="43">
        <v>1904.375</v>
      </c>
      <c r="L108" s="43">
        <v>1904.375</v>
      </c>
      <c r="M108" s="43">
        <v>1904.375</v>
      </c>
      <c r="N108" s="33">
        <f>'Balance Sheet - FY'!E108</f>
        <v>1904.375</v>
      </c>
      <c r="O108" s="43">
        <v>1904.375</v>
      </c>
      <c r="P108" s="43">
        <v>1904.375</v>
      </c>
      <c r="Q108" s="43">
        <v>1904.375</v>
      </c>
      <c r="R108" s="33">
        <f>'Balance Sheet - FY'!F108</f>
        <v>1904.375</v>
      </c>
      <c r="S108" s="43">
        <v>1904.375</v>
      </c>
      <c r="T108" s="43">
        <v>1904.375</v>
      </c>
      <c r="U108" s="43">
        <v>1904.375</v>
      </c>
      <c r="V108" s="33">
        <f>'Balance Sheet - FY'!G108</f>
        <v>1904.375</v>
      </c>
      <c r="W108" s="43">
        <v>1904.375</v>
      </c>
      <c r="X108" s="43">
        <v>1904.3749359999999</v>
      </c>
      <c r="Y108" s="43">
        <v>1904.37</v>
      </c>
      <c r="Z108" s="33">
        <f>'Balance Sheet - FY'!H108</f>
        <v>1904.375</v>
      </c>
      <c r="AA108" s="43">
        <v>1904.375</v>
      </c>
      <c r="AB108" s="43">
        <v>1904.375</v>
      </c>
      <c r="AC108" s="43">
        <v>1904.3749359999999</v>
      </c>
      <c r="AD108" s="33">
        <f>+'Balance Sheet - FY'!I108</f>
        <v>1904.3749359999999</v>
      </c>
      <c r="AE108" s="163">
        <v>1904.3749359999999</v>
      </c>
      <c r="AF108" s="43">
        <v>1904.375</v>
      </c>
      <c r="AG108" s="43">
        <v>1904.3749359999999</v>
      </c>
      <c r="AH108" s="33">
        <f>'Balance Sheet - FY'!J108</f>
        <v>1904.3749359999999</v>
      </c>
      <c r="AI108" s="43">
        <v>1904.3749359999999</v>
      </c>
      <c r="AJ108" s="43">
        <v>1904.3749359999999</v>
      </c>
      <c r="AK108" s="43">
        <v>1904.3749359999999</v>
      </c>
      <c r="AL108" s="33">
        <f>'Balance Sheet - FY'!K108</f>
        <v>2065.6506089999998</v>
      </c>
    </row>
    <row r="109" spans="1:38" hidden="1" outlineLevel="1">
      <c r="A109" s="40" t="s">
        <v>60</v>
      </c>
      <c r="B109" s="12"/>
      <c r="C109" s="44">
        <v>1614.7439999999999</v>
      </c>
      <c r="D109" s="44">
        <v>2028.549</v>
      </c>
      <c r="E109" s="44">
        <v>2076.0369999999998</v>
      </c>
      <c r="F109" s="48">
        <f>'Balance Sheet - FY'!C109</f>
        <v>2035.991</v>
      </c>
      <c r="G109" s="44">
        <v>2210.9369999999999</v>
      </c>
      <c r="H109" s="44">
        <v>2166.527</v>
      </c>
      <c r="I109" s="44">
        <v>2116.6689999999999</v>
      </c>
      <c r="J109" s="48">
        <f>'Balance Sheet - FY'!D109</f>
        <v>2132.14</v>
      </c>
      <c r="K109" s="44">
        <v>2601.9070000000002</v>
      </c>
      <c r="L109" s="44">
        <v>2375.1869999999999</v>
      </c>
      <c r="M109" s="44">
        <v>2373.3609999999999</v>
      </c>
      <c r="N109" s="48">
        <f>'Balance Sheet - FY'!E109</f>
        <v>2381.94</v>
      </c>
      <c r="O109" s="44">
        <v>2551.7220000000002</v>
      </c>
      <c r="P109" s="44">
        <v>2504.3679999999999</v>
      </c>
      <c r="Q109" s="44">
        <v>2425.511</v>
      </c>
      <c r="R109" s="48">
        <f>'Balance Sheet - FY'!F109</f>
        <v>2513.2620000000002</v>
      </c>
      <c r="S109" s="44">
        <v>2578.277</v>
      </c>
      <c r="T109" s="44">
        <v>2653.4189999999999</v>
      </c>
      <c r="U109" s="44">
        <v>2658.5680000000002</v>
      </c>
      <c r="V109" s="48">
        <f>'Balance Sheet - FY'!G109</f>
        <v>2700.9409999999998</v>
      </c>
      <c r="W109" s="44">
        <v>3146.9549999999999</v>
      </c>
      <c r="X109" s="44">
        <v>3143.0772459999998</v>
      </c>
      <c r="Y109" s="44">
        <v>3244.53</v>
      </c>
      <c r="Z109" s="48">
        <f>'Balance Sheet - FY'!H109</f>
        <v>3001.6591469999998</v>
      </c>
      <c r="AA109" s="44">
        <v>3437.375</v>
      </c>
      <c r="AB109" s="44">
        <v>3198.9140000000002</v>
      </c>
      <c r="AC109" s="44">
        <v>3207.4277750000001</v>
      </c>
      <c r="AD109" s="48">
        <f>+'Balance Sheet - FY'!I109</f>
        <v>3110.9381250000001</v>
      </c>
      <c r="AE109" s="162">
        <v>3736.3806179999997</v>
      </c>
      <c r="AF109" s="44">
        <v>3452.0769820000005</v>
      </c>
      <c r="AG109" s="44">
        <v>3315.3762510000001</v>
      </c>
      <c r="AH109" s="48">
        <f>'Balance Sheet - FY'!J109</f>
        <v>3383.7154949999999</v>
      </c>
      <c r="AI109" s="44">
        <v>3819.219544</v>
      </c>
      <c r="AJ109" s="44">
        <v>3391.3701110000002</v>
      </c>
      <c r="AK109" s="44">
        <v>3412.9684190000003</v>
      </c>
      <c r="AL109" s="33">
        <f>'Balance Sheet - FY'!K109</f>
        <v>3714.6697199999999</v>
      </c>
    </row>
    <row r="110" spans="1:38" hidden="1" outlineLevel="1">
      <c r="A110" s="40" t="s">
        <v>18</v>
      </c>
      <c r="B110" s="12"/>
      <c r="C110" s="44">
        <v>-27.942</v>
      </c>
      <c r="D110" s="44">
        <v>66.984999999999999</v>
      </c>
      <c r="E110" s="44">
        <v>123.57899999999999</v>
      </c>
      <c r="F110" s="48">
        <f>'Balance Sheet - FY'!C110</f>
        <v>176.392</v>
      </c>
      <c r="G110" s="44">
        <v>90.369</v>
      </c>
      <c r="H110" s="44">
        <v>172.04300000000001</v>
      </c>
      <c r="I110" s="44">
        <v>362.54199999999997</v>
      </c>
      <c r="J110" s="48">
        <f>'Balance Sheet - FY'!D110</f>
        <v>431.60599999999999</v>
      </c>
      <c r="K110" s="44">
        <v>97.614000000000004</v>
      </c>
      <c r="L110" s="44">
        <v>297.91699999999997</v>
      </c>
      <c r="M110" s="44">
        <v>372.666</v>
      </c>
      <c r="N110" s="48">
        <f>'Balance Sheet - FY'!E110</f>
        <v>438.13400000000001</v>
      </c>
      <c r="O110" s="44">
        <v>37.219000000000001</v>
      </c>
      <c r="P110" s="44">
        <v>-103.28</v>
      </c>
      <c r="Q110" s="44">
        <v>-23.584</v>
      </c>
      <c r="R110" s="48">
        <f>'Balance Sheet - FY'!F110</f>
        <v>29.780999999999999</v>
      </c>
      <c r="S110" s="44">
        <v>39.006999999999998</v>
      </c>
      <c r="T110" s="44">
        <v>123.09699999999999</v>
      </c>
      <c r="U110" s="44">
        <v>223.959</v>
      </c>
      <c r="V110" s="48">
        <f>'Balance Sheet - FY'!G110</f>
        <v>302.79599999999999</v>
      </c>
      <c r="W110" s="44">
        <v>107.51900000000001</v>
      </c>
      <c r="X110" s="44">
        <v>221.416539</v>
      </c>
      <c r="Y110" s="44">
        <v>338.38</v>
      </c>
      <c r="Z110" s="48">
        <f>'Balance Sheet - FY'!H110</f>
        <v>417.759973</v>
      </c>
      <c r="AA110" s="44">
        <v>111.645</v>
      </c>
      <c r="AB110" s="44">
        <v>232.09</v>
      </c>
      <c r="AC110" s="44">
        <v>393.04408899999999</v>
      </c>
      <c r="AD110" s="48">
        <f>+'Balance Sheet - FY'!I110</f>
        <v>479.07972799999999</v>
      </c>
      <c r="AE110" s="162">
        <v>93.751346999999996</v>
      </c>
      <c r="AF110" s="44">
        <v>215.599422</v>
      </c>
      <c r="AG110" s="44">
        <v>346.442024</v>
      </c>
      <c r="AH110" s="48">
        <f>'Balance Sheet - FY'!J110</f>
        <v>467.980976</v>
      </c>
      <c r="AI110" s="44">
        <v>118.80020500000001</v>
      </c>
      <c r="AJ110" s="44">
        <v>246.49670399999999</v>
      </c>
      <c r="AK110" s="44">
        <v>374.62889200000001</v>
      </c>
      <c r="AL110" s="33">
        <f>'Balance Sheet - FY'!K110</f>
        <v>497.52713499999999</v>
      </c>
    </row>
    <row r="111" spans="1:38" s="14" customFormat="1" ht="13" hidden="1" outlineLevel="1">
      <c r="A111" s="16" t="s">
        <v>14</v>
      </c>
      <c r="B111" s="12"/>
      <c r="C111" s="32">
        <f t="shared" ref="C111:I111" si="213">IFERROR(C108+C109+C110,"n.a.")</f>
        <v>2929.0829999999996</v>
      </c>
      <c r="D111" s="32">
        <f t="shared" si="213"/>
        <v>3999.9090000000001</v>
      </c>
      <c r="E111" s="32">
        <f t="shared" si="213"/>
        <v>4103.991</v>
      </c>
      <c r="F111" s="32">
        <f t="shared" si="213"/>
        <v>4116.7579999999998</v>
      </c>
      <c r="G111" s="32">
        <f t="shared" si="213"/>
        <v>4205.6809999999996</v>
      </c>
      <c r="H111" s="32">
        <f t="shared" si="213"/>
        <v>4242.9449999999997</v>
      </c>
      <c r="I111" s="32">
        <f t="shared" si="213"/>
        <v>4383.5860000000002</v>
      </c>
      <c r="J111" s="32">
        <f t="shared" ref="J111:AC111" si="214">IFERROR(J108+J109+J110,"n.a.")</f>
        <v>4468.1210000000001</v>
      </c>
      <c r="K111" s="32">
        <f t="shared" si="214"/>
        <v>4603.8959999999997</v>
      </c>
      <c r="L111" s="32">
        <f t="shared" si="214"/>
        <v>4577.4790000000003</v>
      </c>
      <c r="M111" s="32">
        <f t="shared" si="214"/>
        <v>4650.402</v>
      </c>
      <c r="N111" s="32">
        <f t="shared" si="214"/>
        <v>4724.4490000000005</v>
      </c>
      <c r="O111" s="32">
        <f t="shared" si="214"/>
        <v>4493.3159999999998</v>
      </c>
      <c r="P111" s="32">
        <f t="shared" si="214"/>
        <v>4305.4630000000006</v>
      </c>
      <c r="Q111" s="32">
        <f t="shared" si="214"/>
        <v>4306.3020000000006</v>
      </c>
      <c r="R111" s="32">
        <f t="shared" si="214"/>
        <v>4447.4180000000006</v>
      </c>
      <c r="S111" s="32">
        <f t="shared" si="214"/>
        <v>4521.6589999999997</v>
      </c>
      <c r="T111" s="32">
        <f t="shared" si="214"/>
        <v>4680.8909999999996</v>
      </c>
      <c r="U111" s="32">
        <f t="shared" si="214"/>
        <v>4786.902</v>
      </c>
      <c r="V111" s="32">
        <f t="shared" si="214"/>
        <v>4908.1120000000001</v>
      </c>
      <c r="W111" s="32">
        <f t="shared" si="214"/>
        <v>5158.8490000000002</v>
      </c>
      <c r="X111" s="32">
        <f t="shared" si="214"/>
        <v>5268.8687209999998</v>
      </c>
      <c r="Y111" s="32">
        <f t="shared" si="214"/>
        <v>5487.28</v>
      </c>
      <c r="Z111" s="32">
        <f t="shared" si="214"/>
        <v>5323.7941200000005</v>
      </c>
      <c r="AA111" s="32">
        <f t="shared" si="214"/>
        <v>5453.3950000000004</v>
      </c>
      <c r="AB111" s="32">
        <f t="shared" si="214"/>
        <v>5335.3790000000008</v>
      </c>
      <c r="AC111" s="32">
        <f t="shared" si="214"/>
        <v>5504.8468000000003</v>
      </c>
      <c r="AD111" s="32">
        <f t="shared" ref="AD111:AH111" si="215">IFERROR(AD108+AD109+AD110,"n.a.")</f>
        <v>5494.3927889999995</v>
      </c>
      <c r="AE111" s="32">
        <f t="shared" si="215"/>
        <v>5734.5069009999997</v>
      </c>
      <c r="AF111" s="32">
        <f t="shared" si="215"/>
        <v>5572.0514040000007</v>
      </c>
      <c r="AG111" s="32">
        <f t="shared" si="215"/>
        <v>5566.1932109999998</v>
      </c>
      <c r="AH111" s="32">
        <f t="shared" si="215"/>
        <v>5756.0714069999995</v>
      </c>
      <c r="AI111" s="32">
        <f t="shared" ref="AI111:AJ111" si="216">IFERROR(AI108+AI109+AI110,"n.a.")</f>
        <v>5842.3946849999993</v>
      </c>
      <c r="AJ111" s="32">
        <f t="shared" si="216"/>
        <v>5542.2417510000005</v>
      </c>
      <c r="AK111" s="32">
        <f>IFERROR(AK108+AK109+AK110,"n.a.")</f>
        <v>5691.9722469999997</v>
      </c>
      <c r="AL111" s="32">
        <f>IFERROR(AL108+AL109+AL110,"n.a.")</f>
        <v>6277.8474640000004</v>
      </c>
    </row>
    <row r="112" spans="1:38" hidden="1" outlineLevel="1">
      <c r="A112" s="40" t="s">
        <v>60</v>
      </c>
      <c r="B112" s="12"/>
      <c r="C112" s="44">
        <v>72.902000000000001</v>
      </c>
      <c r="D112" s="44">
        <v>56.787999999999997</v>
      </c>
      <c r="E112" s="44">
        <v>55.292000000000002</v>
      </c>
      <c r="F112" s="48">
        <f>'Balance Sheet - FY'!C112</f>
        <v>60.936</v>
      </c>
      <c r="G112" s="44">
        <v>63.192</v>
      </c>
      <c r="H112" s="44">
        <v>75.106999999999999</v>
      </c>
      <c r="I112" s="44">
        <v>72.378</v>
      </c>
      <c r="J112" s="48">
        <f>'Balance Sheet - FY'!D112</f>
        <v>72.040000000000006</v>
      </c>
      <c r="K112" s="44">
        <v>80.19</v>
      </c>
      <c r="L112" s="44">
        <v>77.161000000000001</v>
      </c>
      <c r="M112" s="44">
        <v>78.956999999999994</v>
      </c>
      <c r="N112" s="48">
        <f>'Balance Sheet - FY'!E112</f>
        <v>82.619</v>
      </c>
      <c r="O112" s="44">
        <v>95.71</v>
      </c>
      <c r="P112" s="44">
        <v>97.11</v>
      </c>
      <c r="Q112" s="44">
        <v>91.847999999999999</v>
      </c>
      <c r="R112" s="48">
        <f>'Balance Sheet - FY'!F112</f>
        <v>91.54</v>
      </c>
      <c r="S112" s="44">
        <v>107.97</v>
      </c>
      <c r="T112" s="44">
        <v>109.33799999999999</v>
      </c>
      <c r="U112" s="44">
        <v>111.779</v>
      </c>
      <c r="V112" s="48">
        <f>'Balance Sheet - FY'!G112</f>
        <v>115.73</v>
      </c>
      <c r="W112" s="44">
        <v>132.816</v>
      </c>
      <c r="X112" s="44">
        <v>139.108374</v>
      </c>
      <c r="Y112" s="44">
        <v>138.43</v>
      </c>
      <c r="Z112" s="48">
        <f>'Balance Sheet - FY'!H112</f>
        <v>111.89399800000001</v>
      </c>
      <c r="AA112" s="44">
        <v>124.486</v>
      </c>
      <c r="AB112" s="44">
        <v>109.679</v>
      </c>
      <c r="AC112" s="44">
        <v>109.11825999999999</v>
      </c>
      <c r="AD112" s="48">
        <f>+'Balance Sheet - FY'!I112</f>
        <v>108.37621799999999</v>
      </c>
      <c r="AE112" s="44">
        <v>127.51688899999999</v>
      </c>
      <c r="AF112" s="44">
        <v>125.53674000000001</v>
      </c>
      <c r="AG112" s="44">
        <v>118.33034600000001</v>
      </c>
      <c r="AH112" s="48">
        <f>'Balance Sheet - FY'!J112</f>
        <v>123.059996</v>
      </c>
      <c r="AI112" s="44">
        <v>162.29409099999998</v>
      </c>
      <c r="AJ112" s="44">
        <v>143.20243400000001</v>
      </c>
      <c r="AK112" s="44">
        <v>140.85681099999999</v>
      </c>
      <c r="AL112" s="33">
        <f>'Balance Sheet - FY'!K112</f>
        <v>145.72007600000001</v>
      </c>
    </row>
    <row r="113" spans="1:38" hidden="1" outlineLevel="1">
      <c r="A113" s="40" t="s">
        <v>18</v>
      </c>
      <c r="B113" s="12"/>
      <c r="C113" s="44">
        <v>0.89600000000000002</v>
      </c>
      <c r="D113" s="44">
        <v>0.61</v>
      </c>
      <c r="E113" s="44">
        <v>0.28399999999999997</v>
      </c>
      <c r="F113" s="48">
        <f>'Balance Sheet - FY'!C113</f>
        <v>-0.68500000000000005</v>
      </c>
      <c r="G113" s="44">
        <v>-1.254</v>
      </c>
      <c r="H113" s="44">
        <v>5.1870000000000003</v>
      </c>
      <c r="I113" s="44">
        <v>8.8360000000000003</v>
      </c>
      <c r="J113" s="48">
        <f>'Balance Sheet - FY'!D113</f>
        <v>10.766</v>
      </c>
      <c r="K113" s="44">
        <v>3.8220000000000001</v>
      </c>
      <c r="L113" s="44">
        <v>9.0739999999999998</v>
      </c>
      <c r="M113" s="44">
        <v>13.042999999999999</v>
      </c>
      <c r="N113" s="48">
        <f>'Balance Sheet - FY'!E113</f>
        <v>19.562999999999999</v>
      </c>
      <c r="O113" s="44">
        <v>1.2450000000000001</v>
      </c>
      <c r="P113" s="44">
        <v>1.571</v>
      </c>
      <c r="Q113" s="44">
        <v>5.7240000000000002</v>
      </c>
      <c r="R113" s="48">
        <f>'Balance Sheet - FY'!F113</f>
        <v>12.891999999999999</v>
      </c>
      <c r="S113" s="44">
        <v>3.1680000000000001</v>
      </c>
      <c r="T113" s="44">
        <v>8.4429999999999996</v>
      </c>
      <c r="U113" s="44">
        <v>12.266</v>
      </c>
      <c r="V113" s="48">
        <f>'Balance Sheet - FY'!G113</f>
        <v>18.797000000000001</v>
      </c>
      <c r="W113" s="44">
        <v>2.323</v>
      </c>
      <c r="X113" s="44">
        <v>11.629906999999999</v>
      </c>
      <c r="Y113" s="44">
        <v>20.92</v>
      </c>
      <c r="Z113" s="48">
        <f>'Balance Sheet - FY'!H113</f>
        <v>18.1402</v>
      </c>
      <c r="AA113" s="44">
        <v>3.3260000000000001</v>
      </c>
      <c r="AB113" s="44">
        <v>10.542999999999999</v>
      </c>
      <c r="AC113" s="44">
        <v>17.995037</v>
      </c>
      <c r="AD113" s="48">
        <f>+'Balance Sheet - FY'!I113</f>
        <v>16.824957999999999</v>
      </c>
      <c r="AE113" s="44">
        <v>6.6657079999999995</v>
      </c>
      <c r="AF113" s="44">
        <v>15.702264999999999</v>
      </c>
      <c r="AG113" s="44">
        <v>24.621883</v>
      </c>
      <c r="AH113" s="48">
        <f>'Balance Sheet - FY'!J113</f>
        <v>33.122660000000003</v>
      </c>
      <c r="AI113" s="44">
        <v>8.3749219999999998</v>
      </c>
      <c r="AJ113" s="44">
        <v>17.480765000000002</v>
      </c>
      <c r="AK113" s="44">
        <v>26.019821</v>
      </c>
      <c r="AL113" s="33">
        <f>'Balance Sheet - FY'!K113</f>
        <v>33.169361000000002</v>
      </c>
    </row>
    <row r="114" spans="1:38" s="14" customFormat="1" ht="13" hidden="1" outlineLevel="1">
      <c r="A114" s="16" t="s">
        <v>15</v>
      </c>
      <c r="B114" s="12"/>
      <c r="C114" s="32">
        <f t="shared" ref="C114:AC114" si="217">IFERROR(C112+C113,"n.a.")</f>
        <v>73.798000000000002</v>
      </c>
      <c r="D114" s="32">
        <f t="shared" si="217"/>
        <v>57.397999999999996</v>
      </c>
      <c r="E114" s="32">
        <f t="shared" si="217"/>
        <v>55.576000000000001</v>
      </c>
      <c r="F114" s="32">
        <f t="shared" si="217"/>
        <v>60.250999999999998</v>
      </c>
      <c r="G114" s="32">
        <f t="shared" si="217"/>
        <v>61.938000000000002</v>
      </c>
      <c r="H114" s="32">
        <f t="shared" si="217"/>
        <v>80.293999999999997</v>
      </c>
      <c r="I114" s="32">
        <f t="shared" si="217"/>
        <v>81.213999999999999</v>
      </c>
      <c r="J114" s="32">
        <f t="shared" si="217"/>
        <v>82.806000000000012</v>
      </c>
      <c r="K114" s="32">
        <f t="shared" si="217"/>
        <v>84.012</v>
      </c>
      <c r="L114" s="32">
        <f t="shared" si="217"/>
        <v>86.234999999999999</v>
      </c>
      <c r="M114" s="32">
        <f t="shared" si="217"/>
        <v>92</v>
      </c>
      <c r="N114" s="32">
        <f t="shared" si="217"/>
        <v>102.182</v>
      </c>
      <c r="O114" s="32">
        <f t="shared" si="217"/>
        <v>96.954999999999998</v>
      </c>
      <c r="P114" s="32">
        <f t="shared" si="217"/>
        <v>98.680999999999997</v>
      </c>
      <c r="Q114" s="32">
        <f t="shared" si="217"/>
        <v>97.572000000000003</v>
      </c>
      <c r="R114" s="32">
        <f t="shared" si="217"/>
        <v>104.432</v>
      </c>
      <c r="S114" s="32">
        <f t="shared" si="217"/>
        <v>111.13800000000001</v>
      </c>
      <c r="T114" s="32">
        <f t="shared" si="217"/>
        <v>117.78099999999999</v>
      </c>
      <c r="U114" s="32">
        <f t="shared" si="217"/>
        <v>124.045</v>
      </c>
      <c r="V114" s="32">
        <f t="shared" si="217"/>
        <v>134.52700000000002</v>
      </c>
      <c r="W114" s="32">
        <f t="shared" si="217"/>
        <v>135.13900000000001</v>
      </c>
      <c r="X114" s="32">
        <f t="shared" si="217"/>
        <v>150.738281</v>
      </c>
      <c r="Y114" s="32">
        <f t="shared" si="217"/>
        <v>159.35000000000002</v>
      </c>
      <c r="Z114" s="32">
        <f t="shared" si="217"/>
        <v>130.034198</v>
      </c>
      <c r="AA114" s="32">
        <f t="shared" si="217"/>
        <v>127.812</v>
      </c>
      <c r="AB114" s="32">
        <f t="shared" si="217"/>
        <v>120.22200000000001</v>
      </c>
      <c r="AC114" s="32">
        <f t="shared" si="217"/>
        <v>127.11329699999999</v>
      </c>
      <c r="AD114" s="32">
        <f t="shared" ref="AD114:AH114" si="218">IFERROR(AD112+AD113,"n.a.")</f>
        <v>125.20117599999999</v>
      </c>
      <c r="AE114" s="32">
        <f t="shared" si="218"/>
        <v>134.18259699999999</v>
      </c>
      <c r="AF114" s="32">
        <f t="shared" si="218"/>
        <v>141.23900500000002</v>
      </c>
      <c r="AG114" s="32">
        <f t="shared" si="218"/>
        <v>142.95222900000002</v>
      </c>
      <c r="AH114" s="32">
        <f t="shared" si="218"/>
        <v>156.18265600000001</v>
      </c>
      <c r="AI114" s="32">
        <f t="shared" ref="AI114:AJ114" si="219">IFERROR(AI112+AI113,"n.a.")</f>
        <v>170.66901299999998</v>
      </c>
      <c r="AJ114" s="32">
        <f t="shared" si="219"/>
        <v>160.683199</v>
      </c>
      <c r="AK114" s="32">
        <f t="shared" ref="AK114:AL114" si="220">IFERROR(AK112+AK113,"n.a.")</f>
        <v>166.876632</v>
      </c>
      <c r="AL114" s="32">
        <f t="shared" si="220"/>
        <v>178.88943700000002</v>
      </c>
    </row>
    <row r="115" spans="1:38" s="14" customFormat="1" ht="13" collapsed="1">
      <c r="A115" s="64" t="s">
        <v>4</v>
      </c>
      <c r="B115" s="64"/>
      <c r="C115" s="65">
        <f t="shared" ref="C115:I115" si="221">IFERROR(C111+C114,"n.a.")</f>
        <v>3002.8809999999994</v>
      </c>
      <c r="D115" s="65">
        <f t="shared" si="221"/>
        <v>4057.3070000000002</v>
      </c>
      <c r="E115" s="65">
        <f t="shared" si="221"/>
        <v>4159.567</v>
      </c>
      <c r="F115" s="65">
        <f t="shared" si="221"/>
        <v>4177.009</v>
      </c>
      <c r="G115" s="65">
        <f t="shared" si="221"/>
        <v>4267.6189999999997</v>
      </c>
      <c r="H115" s="65">
        <f t="shared" si="221"/>
        <v>4323.2389999999996</v>
      </c>
      <c r="I115" s="65">
        <f t="shared" si="221"/>
        <v>4464.8</v>
      </c>
      <c r="J115" s="65">
        <f t="shared" ref="J115:AC115" si="222">IFERROR(J111+J114,"n.a.")</f>
        <v>4550.9269999999997</v>
      </c>
      <c r="K115" s="65">
        <f t="shared" si="222"/>
        <v>4687.9079999999994</v>
      </c>
      <c r="L115" s="65">
        <f t="shared" si="222"/>
        <v>4663.7139999999999</v>
      </c>
      <c r="M115" s="65">
        <f t="shared" si="222"/>
        <v>4742.402</v>
      </c>
      <c r="N115" s="65">
        <f t="shared" si="222"/>
        <v>4826.6310000000003</v>
      </c>
      <c r="O115" s="65">
        <f t="shared" si="222"/>
        <v>4590.2709999999997</v>
      </c>
      <c r="P115" s="65">
        <f t="shared" si="222"/>
        <v>4404.1440000000002</v>
      </c>
      <c r="Q115" s="65">
        <f t="shared" si="222"/>
        <v>4403.8740000000007</v>
      </c>
      <c r="R115" s="65">
        <f t="shared" si="222"/>
        <v>4551.8500000000004</v>
      </c>
      <c r="S115" s="65">
        <f t="shared" si="222"/>
        <v>4632.7969999999996</v>
      </c>
      <c r="T115" s="65">
        <f t="shared" si="222"/>
        <v>4798.6719999999996</v>
      </c>
      <c r="U115" s="65">
        <f t="shared" si="222"/>
        <v>4910.9470000000001</v>
      </c>
      <c r="V115" s="65">
        <f t="shared" si="222"/>
        <v>5042.6390000000001</v>
      </c>
      <c r="W115" s="65">
        <f t="shared" si="222"/>
        <v>5293.9880000000003</v>
      </c>
      <c r="X115" s="65">
        <f t="shared" si="222"/>
        <v>5419.6070019999997</v>
      </c>
      <c r="Y115" s="65">
        <f t="shared" si="222"/>
        <v>5646.63</v>
      </c>
      <c r="Z115" s="65">
        <f t="shared" si="222"/>
        <v>5453.8283180000008</v>
      </c>
      <c r="AA115" s="65">
        <f t="shared" si="222"/>
        <v>5581.2070000000003</v>
      </c>
      <c r="AB115" s="65">
        <f t="shared" si="222"/>
        <v>5455.6010000000006</v>
      </c>
      <c r="AC115" s="65">
        <f t="shared" si="222"/>
        <v>5631.9600970000001</v>
      </c>
      <c r="AD115" s="65">
        <f t="shared" ref="AD115:AG115" si="223">IFERROR(AD111+AD114,"n.a.")</f>
        <v>5619.5939649999991</v>
      </c>
      <c r="AE115" s="65">
        <f t="shared" si="223"/>
        <v>5868.6894979999997</v>
      </c>
      <c r="AF115" s="65">
        <f t="shared" si="223"/>
        <v>5713.2904090000011</v>
      </c>
      <c r="AG115" s="65">
        <f t="shared" si="223"/>
        <v>5709.1454400000002</v>
      </c>
      <c r="AH115" s="65">
        <f>'Balance Sheet - FY'!J115</f>
        <v>5912.2540629999994</v>
      </c>
      <c r="AI115" s="65">
        <f t="shared" ref="AI115:AJ115" si="224">IFERROR(AI111+AI114,"n.a.")</f>
        <v>6013.063697999999</v>
      </c>
      <c r="AJ115" s="65">
        <f t="shared" si="224"/>
        <v>5702.9249500000005</v>
      </c>
      <c r="AK115" s="65">
        <f t="shared" ref="AK115:AL115" si="225">IFERROR(AK111+AK114,"n.a.")</f>
        <v>5858.8488790000001</v>
      </c>
      <c r="AL115" s="65">
        <f t="shared" si="225"/>
        <v>6456.7369010000002</v>
      </c>
    </row>
    <row r="116" spans="1:38">
      <c r="B116" s="60"/>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c r="AA116" s="61"/>
      <c r="AB116" s="61"/>
      <c r="AC116" s="61"/>
      <c r="AD116" s="61"/>
      <c r="AE116" s="61"/>
      <c r="AF116" s="61"/>
      <c r="AG116" s="61"/>
      <c r="AH116" s="61"/>
      <c r="AI116" s="61"/>
      <c r="AJ116" s="61"/>
      <c r="AK116" s="61"/>
      <c r="AL116" s="61"/>
    </row>
    <row r="117" spans="1:38" s="14" customFormat="1" ht="13">
      <c r="A117" s="64" t="s">
        <v>8</v>
      </c>
      <c r="B117" s="64"/>
      <c r="C117" s="65">
        <f t="shared" ref="C117:I117" si="226">IFERROR(C106+C115,"n.a.")</f>
        <v>12722.817000000001</v>
      </c>
      <c r="D117" s="65">
        <f t="shared" si="226"/>
        <v>12428.679</v>
      </c>
      <c r="E117" s="65">
        <f t="shared" si="226"/>
        <v>12541.577000000001</v>
      </c>
      <c r="F117" s="65">
        <f t="shared" si="226"/>
        <v>12733.915000000001</v>
      </c>
      <c r="G117" s="65">
        <f t="shared" si="226"/>
        <v>12274.004000000001</v>
      </c>
      <c r="H117" s="65">
        <f t="shared" si="226"/>
        <v>12208.703000000001</v>
      </c>
      <c r="I117" s="65">
        <f t="shared" si="226"/>
        <v>12330.761</v>
      </c>
      <c r="J117" s="65">
        <f t="shared" ref="J117:AC117" si="227">IFERROR(J106+J115,"n.a.")</f>
        <v>13031.697</v>
      </c>
      <c r="K117" s="65">
        <f t="shared" si="227"/>
        <v>13472.983999999999</v>
      </c>
      <c r="L117" s="65">
        <f t="shared" si="227"/>
        <v>13376.152</v>
      </c>
      <c r="M117" s="65">
        <f t="shared" si="227"/>
        <v>13486.713000000002</v>
      </c>
      <c r="N117" s="65">
        <f t="shared" si="227"/>
        <v>13934.454000000002</v>
      </c>
      <c r="O117" s="65">
        <f t="shared" si="227"/>
        <v>13092.349999999999</v>
      </c>
      <c r="P117" s="65">
        <f t="shared" si="227"/>
        <v>13316.492</v>
      </c>
      <c r="Q117" s="65">
        <f t="shared" si="227"/>
        <v>12929.003000000001</v>
      </c>
      <c r="R117" s="65">
        <f t="shared" si="227"/>
        <v>13738.589999999998</v>
      </c>
      <c r="S117" s="65">
        <f t="shared" si="227"/>
        <v>12499.244999999999</v>
      </c>
      <c r="T117" s="65">
        <f t="shared" si="227"/>
        <v>12814.358</v>
      </c>
      <c r="U117" s="65">
        <f t="shared" si="227"/>
        <v>12826.341</v>
      </c>
      <c r="V117" s="65">
        <f t="shared" si="227"/>
        <v>13883.172999999999</v>
      </c>
      <c r="W117" s="65">
        <f t="shared" si="227"/>
        <v>13396.888999999999</v>
      </c>
      <c r="X117" s="65">
        <f t="shared" si="227"/>
        <v>13737.454002000002</v>
      </c>
      <c r="Y117" s="65">
        <f t="shared" si="227"/>
        <v>14648.185000000001</v>
      </c>
      <c r="Z117" s="65">
        <f t="shared" si="227"/>
        <v>13897.605017000002</v>
      </c>
      <c r="AA117" s="65">
        <f t="shared" si="227"/>
        <v>13829.408000000001</v>
      </c>
      <c r="AB117" s="65">
        <f t="shared" si="227"/>
        <v>13827.558000000001</v>
      </c>
      <c r="AC117" s="65">
        <f t="shared" si="227"/>
        <v>13373.290115</v>
      </c>
      <c r="AD117" s="65">
        <f t="shared" ref="AD117:AH117" si="228">IFERROR(AD106+AD115,"n.a.")</f>
        <v>13530.927022999998</v>
      </c>
      <c r="AE117" s="65">
        <f t="shared" si="228"/>
        <v>13465.377139</v>
      </c>
      <c r="AF117" s="65">
        <f t="shared" si="228"/>
        <v>13286.07185</v>
      </c>
      <c r="AG117" s="65">
        <f t="shared" si="228"/>
        <v>13190.329331000001</v>
      </c>
      <c r="AH117" s="65">
        <f t="shared" si="228"/>
        <v>13680.621379</v>
      </c>
      <c r="AI117" s="65">
        <f t="shared" ref="AI117:AJ117" si="229">IFERROR(AI106+AI115,"n.a.")</f>
        <v>13378.484576999999</v>
      </c>
      <c r="AJ117" s="65">
        <f t="shared" si="229"/>
        <v>12968.138869</v>
      </c>
      <c r="AK117" s="65">
        <f t="shared" ref="AK117:AL117" si="230">IFERROR(AK106+AK115,"n.a.")</f>
        <v>13124.136961</v>
      </c>
      <c r="AL117" s="65">
        <f t="shared" si="230"/>
        <v>13353.183297000001</v>
      </c>
    </row>
    <row r="120" spans="1:38">
      <c r="A120" s="227" t="s">
        <v>156</v>
      </c>
      <c r="B120" s="227"/>
      <c r="C120" s="227"/>
      <c r="D120" s="227"/>
      <c r="E120" s="227"/>
      <c r="F120" s="227"/>
      <c r="G120" s="227"/>
      <c r="H120" s="227"/>
      <c r="I120" s="227"/>
      <c r="J120" s="227"/>
      <c r="K120" s="227"/>
      <c r="L120" s="227"/>
      <c r="M120" s="227"/>
      <c r="N120" s="227"/>
      <c r="O120" s="227"/>
      <c r="P120" s="227"/>
      <c r="Q120" s="227"/>
      <c r="R120" s="227"/>
      <c r="S120" s="227"/>
      <c r="T120" s="227"/>
      <c r="U120" s="227"/>
      <c r="V120" s="227"/>
      <c r="W120" s="227"/>
      <c r="X120" s="2"/>
      <c r="Y120" s="2"/>
      <c r="Z120" s="2"/>
      <c r="AA120" s="2"/>
      <c r="AB120" s="2"/>
      <c r="AC120" s="2"/>
      <c r="AD120" s="2"/>
      <c r="AE120" s="2"/>
      <c r="AF120" s="2"/>
      <c r="AG120" s="2"/>
      <c r="AH120" s="2"/>
      <c r="AI120" s="2"/>
      <c r="AJ120" s="2"/>
      <c r="AK120" s="2"/>
      <c r="AL120" s="2"/>
    </row>
    <row r="121" spans="1:38">
      <c r="A121" s="227" t="s">
        <v>157</v>
      </c>
      <c r="B121" s="227"/>
      <c r="C121" s="227"/>
      <c r="D121" s="227"/>
      <c r="E121" s="227"/>
      <c r="F121" s="227"/>
      <c r="G121" s="227"/>
      <c r="H121" s="227"/>
      <c r="I121" s="227"/>
      <c r="J121" s="227"/>
      <c r="K121" s="227"/>
      <c r="L121" s="227"/>
      <c r="M121" s="227"/>
      <c r="N121" s="227"/>
      <c r="O121" s="227"/>
      <c r="P121" s="227"/>
      <c r="Q121" s="227"/>
      <c r="R121" s="227"/>
      <c r="S121" s="227"/>
      <c r="T121" s="227"/>
      <c r="U121" s="227"/>
      <c r="V121" s="227"/>
      <c r="W121" s="227"/>
      <c r="X121" s="2"/>
      <c r="Y121" s="2"/>
      <c r="Z121" s="2"/>
      <c r="AA121" s="2"/>
      <c r="AB121" s="2"/>
      <c r="AC121" s="2"/>
      <c r="AD121" s="2"/>
      <c r="AE121" s="2"/>
      <c r="AF121" s="2"/>
      <c r="AG121" s="2"/>
      <c r="AH121" s="2"/>
      <c r="AI121" s="2"/>
      <c r="AJ121" s="2"/>
      <c r="AK121" s="2"/>
      <c r="AL121" s="2"/>
    </row>
    <row r="122" spans="1:38">
      <c r="A122" s="227" t="s">
        <v>246</v>
      </c>
      <c r="B122" s="227"/>
      <c r="C122" s="227"/>
      <c r="D122" s="227"/>
      <c r="E122" s="227"/>
      <c r="F122" s="227"/>
      <c r="G122" s="227"/>
      <c r="H122" s="227"/>
      <c r="I122" s="227"/>
      <c r="J122" s="227"/>
      <c r="K122" s="227"/>
      <c r="L122" s="227"/>
      <c r="M122" s="227"/>
      <c r="N122" s="227"/>
      <c r="O122" s="227"/>
      <c r="P122" s="227"/>
      <c r="Q122" s="227"/>
      <c r="R122" s="227"/>
      <c r="S122" s="227"/>
      <c r="T122" s="227"/>
      <c r="U122" s="227"/>
      <c r="V122" s="227"/>
      <c r="W122" s="227"/>
      <c r="X122" s="2"/>
      <c r="Y122" s="2"/>
      <c r="Z122" s="2"/>
      <c r="AA122" s="2"/>
      <c r="AB122" s="2"/>
      <c r="AC122" s="2"/>
      <c r="AD122" s="2"/>
      <c r="AE122" s="2"/>
      <c r="AF122" s="2"/>
      <c r="AG122" s="2"/>
      <c r="AH122" s="2"/>
      <c r="AI122" s="2"/>
      <c r="AJ122" s="2"/>
      <c r="AK122" s="2"/>
      <c r="AL122" s="2"/>
    </row>
    <row r="124" spans="1:38">
      <c r="A124" s="38"/>
    </row>
  </sheetData>
  <mergeCells count="3">
    <mergeCell ref="A120:W120"/>
    <mergeCell ref="A121:W121"/>
    <mergeCell ref="A122:W122"/>
  </mergeCells>
  <pageMargins left="0" right="0" top="0" bottom="0" header="0" footer="0"/>
  <pageSetup paperSize="8" scale="73" orientation="portrait" r:id="rId1"/>
  <ignoredErrors>
    <ignoredError sqref="L36 L40:L41 R40 T15:T16 T25 T27 U22:U24 Y25 Y21 X41 Y33 Z26 AC21:AH25 AC27:AH33 AC26:AG26 AC35:AH38 AC34:AG34 AC40:AH67 AC39 AE39:AG39 AC69:AH74 AE68:AG68 AC76:AH81 AE75:AG75 AC83:AH91 AE82:AF82 AC94:AH101 AC92 AE92:AG92 AC93 AE93:AG93 AC104:AH110 AD102:AF102 AH102 AE103:AF103 AC112:AH113 AC111 AE111:AG111 AC115:AH115 AC114 AE114:AG114 AC117:AG117 AC116:AG116 AJ33" 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isl xmlns:xsi="http://www.w3.org/2001/XMLSchema-instance" xmlns:xsd="http://www.w3.org/2001/XMLSchema" xmlns="http://www.boldonjames.com/2008/01/sie/internal/label" sislVersion="0" policy="2b8f3f70-3e4d-4335-82fb-00a785401c80" origin="userSelected">
  <element uid="1c89f765-7bc5-49ea-a1bc-4fa470ed5e85" value=""/>
</sisl>
</file>

<file path=customXml/item2.xml><?xml version="1.0" encoding="utf-8"?>
<ct:contentTypeSchema xmlns:ct="http://schemas.microsoft.com/office/2006/metadata/contentType" xmlns:ma="http://schemas.microsoft.com/office/2006/metadata/properties/metaAttributes" ct:_="" ma:_="" ma:contentTypeName="Document" ma:contentTypeID="0x0101007E3C92015272EA419FBEF0FE4A724299" ma:contentTypeVersion="14" ma:contentTypeDescription="Create a new document." ma:contentTypeScope="" ma:versionID="183023cc16a081299f7629e64a83091b">
  <xsd:schema xmlns:xsd="http://www.w3.org/2001/XMLSchema" xmlns:xs="http://www.w3.org/2001/XMLSchema" xmlns:p="http://schemas.microsoft.com/office/2006/metadata/properties" xmlns:ns2="c9b40d77-9f33-448e-93ea-d9caa6331993" xmlns:ns3="5f51e9a4-2ae1-4723-a64a-740299398cea" targetNamespace="http://schemas.microsoft.com/office/2006/metadata/properties" ma:root="true" ma:fieldsID="6be06127fb65a0fc4e23f34acc351955" ns2:_="" ns3:_="">
    <xsd:import namespace="c9b40d77-9f33-448e-93ea-d9caa6331993"/>
    <xsd:import namespace="5f51e9a4-2ae1-4723-a64a-740299398ce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b40d77-9f33-448e-93ea-d9caa63319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682226e-73bd-4aee-84d6-df4aa27179b3"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51e9a4-2ae1-4723-a64a-740299398ce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0f61b04-5895-466a-b26f-ba0d61bea13c}" ma:internalName="TaxCatchAll" ma:showField="CatchAllData" ma:web="5f51e9a4-2ae1-4723-a64a-740299398ce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f51e9a4-2ae1-4723-a64a-740299398cea" xsi:nil="true"/>
    <lcf76f155ced4ddcb4097134ff3c332f xmlns="c9b40d77-9f33-448e-93ea-d9caa6331993">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9BF28A-4231-42DD-8F36-6FAB8278B093}">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ACBDA308-D38D-4B1B-A611-78A7778628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b40d77-9f33-448e-93ea-d9caa6331993"/>
    <ds:schemaRef ds:uri="5f51e9a4-2ae1-4723-a64a-740299398c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971892-074A-492E-AF0B-3331AB950086}">
  <ds:schemaRefs>
    <ds:schemaRef ds:uri="http://schemas.microsoft.com/office/2006/metadata/properties"/>
    <ds:schemaRef ds:uri="http://schemas.microsoft.com/office/infopath/2007/PartnerControls"/>
    <ds:schemaRef ds:uri="b8641ce0-090a-4b1a-bcc9-7bafa875f298"/>
    <ds:schemaRef ds:uri="16d26a40-4cbc-4082-bb42-d263c9d21524"/>
    <ds:schemaRef ds:uri="5f51e9a4-2ae1-4723-a64a-740299398cea"/>
    <ds:schemaRef ds:uri="c9b40d77-9f33-448e-93ea-d9caa6331993"/>
    <ds:schemaRef ds:uri="8d26e426-8ede-4157-a5b1-f55df31632b9"/>
    <ds:schemaRef ds:uri="0f8d5e12-cd39-4422-babb-3ca944e0dae7"/>
  </ds:schemaRefs>
</ds:datastoreItem>
</file>

<file path=customXml/itemProps4.xml><?xml version="1.0" encoding="utf-8"?>
<ds:datastoreItem xmlns:ds="http://schemas.openxmlformats.org/officeDocument/2006/customXml" ds:itemID="{E02E297E-1112-4CA7-9590-8183127971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Cover</vt:lpstr>
      <vt:lpstr>Fin. Highlights - FY</vt:lpstr>
      <vt:lpstr>Fin. Highlights - Interim</vt:lpstr>
      <vt:lpstr>Adj. Rev. detail - FY</vt:lpstr>
      <vt:lpstr>Adj. Rev. detail - Interim</vt:lpstr>
      <vt:lpstr>Adj. EBIT bridge - FY</vt:lpstr>
      <vt:lpstr>Adj. EBIT bridge - Interim</vt:lpstr>
      <vt:lpstr>Balance Sheet - FY</vt:lpstr>
      <vt:lpstr>Balance Sheet - Interim</vt:lpstr>
      <vt:lpstr>Cash Flow - FY</vt:lpstr>
      <vt:lpstr>Cash Flow - Interim</vt:lpstr>
      <vt:lpstr>'Adj. EBIT bridge - FY'!Print_Area</vt:lpstr>
      <vt:lpstr>'Adj. EBIT bridge - Interim'!Print_Area</vt:lpstr>
      <vt:lpstr>'Adj. Rev. detail - FY'!Print_Area</vt:lpstr>
      <vt:lpstr>'Adj. Rev. detail - Interim'!Print_Area</vt:lpstr>
      <vt:lpstr>'Balance Sheet - FY'!Print_Area</vt:lpstr>
      <vt:lpstr>'Balance Sheet - Interim'!Print_Area</vt:lpstr>
      <vt:lpstr>'Cash Flow - FY'!Print_Area</vt:lpstr>
      <vt:lpstr>'Cash Flow - Interim'!Print_Area</vt:lpstr>
      <vt:lpstr>Cover!Print_Area</vt:lpstr>
      <vt:lpstr>'Fin. Highlights - FY'!Print_Area</vt:lpstr>
      <vt:lpstr>'Fin. Highlights - Interim'!Print_Area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[Public]</cp:keywords>
  <cp:lastModifiedBy/>
  <dcterms:created xsi:type="dcterms:W3CDTF">2017-11-03T10:39:37Z</dcterms:created>
  <dcterms:modified xsi:type="dcterms:W3CDTF">2026-04-16T15:40:27Z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oken_Wrapper">
    <vt:lpwstr>08d73297-ea28-4d2c-8707-bf482f3f67bf</vt:lpwstr>
  </property>
  <property fmtid="{D5CDD505-2E9C-101B-9397-08002B2CF9AE}" pid="3" name="Classification">
    <vt:lpwstr>Public - Pirelli Data Classification</vt:lpwstr>
  </property>
  <property fmtid="{D5CDD505-2E9C-101B-9397-08002B2CF9AE}" pid="4" name="docIndexRef">
    <vt:lpwstr>8072b25b-b9f7-4917-b7df-599c0a07ccb6</vt:lpwstr>
  </property>
  <property fmtid="{D5CDD505-2E9C-101B-9397-08002B2CF9AE}" pid="5" name="bjDocumentLabelXML">
    <vt:lpwstr>&lt;?xml version="1.0" encoding="us-ascii"?&gt;&lt;sisl xmlns:xsi="http://www.w3.org/2001/XMLSchema-instance" xmlns:xsd="http://www.w3.org/2001/XMLSchema" sislVersion="0" policy="2b8f3f70-3e4d-4335-82fb-00a785401c80" origin="userSelected" xmlns="http://www.boldonj</vt:lpwstr>
  </property>
  <property fmtid="{D5CDD505-2E9C-101B-9397-08002B2CF9AE}" pid="6" name="bjDocumentLabelXML-0">
    <vt:lpwstr>ames.com/2008/01/sie/internal/label"&gt;&lt;element uid="1c89f765-7bc5-49ea-a1bc-4fa470ed5e85" value="" /&gt;&lt;/sisl&gt;</vt:lpwstr>
  </property>
  <property fmtid="{D5CDD505-2E9C-101B-9397-08002B2CF9AE}" pid="7" name="bjDocumentSecurityLabel">
    <vt:lpwstr>Public [No repercussions to the company from disclosure] _x000d_
 </vt:lpwstr>
  </property>
  <property fmtid="{D5CDD505-2E9C-101B-9397-08002B2CF9AE}" pid="8" name="bjSaver">
    <vt:lpwstr>+nh/eFpDysZnVmvkKPD3m60Re0OuvaNL</vt:lpwstr>
  </property>
  <property fmtid="{D5CDD505-2E9C-101B-9397-08002B2CF9AE}" pid="9" name="_AdHocReviewCycleID">
    <vt:i4>1466283717</vt:i4>
  </property>
  <property fmtid="{D5CDD505-2E9C-101B-9397-08002B2CF9AE}" pid="10" name="_NewReviewCycle">
    <vt:lpwstr/>
  </property>
  <property fmtid="{D5CDD505-2E9C-101B-9397-08002B2CF9AE}" pid="11" name="SV_QUERY_LIST_4F35BF76-6C0D-4D9B-82B2-816C12CF3733">
    <vt:lpwstr>empty_477D106A-C0D6-4607-AEBD-E2C9D60EA279</vt:lpwstr>
  </property>
  <property fmtid="{D5CDD505-2E9C-101B-9397-08002B2CF9AE}" pid="12" name="_PreviousAdHocReviewCycleID">
    <vt:i4>-1979076304</vt:i4>
  </property>
  <property fmtid="{D5CDD505-2E9C-101B-9397-08002B2CF9AE}" pid="13" name="SV_HIDDEN_GRID_QUERY_LIST_4F35BF76-6C0D-4D9B-82B2-816C12CF3733">
    <vt:lpwstr>empty_477D106A-C0D6-4607-AEBD-E2C9D60EA279</vt:lpwstr>
  </property>
  <property fmtid="{D5CDD505-2E9C-101B-9397-08002B2CF9AE}" pid="14" name="ContentTypeId">
    <vt:lpwstr>0x0101007E3C92015272EA419FBEF0FE4A724299</vt:lpwstr>
  </property>
  <property fmtid="{D5CDD505-2E9C-101B-9397-08002B2CF9AE}" pid="15" name="MediaServiceImageTags">
    <vt:lpwstr/>
  </property>
  <property fmtid="{D5CDD505-2E9C-101B-9397-08002B2CF9AE}" pid="16" name="{A44787D4-0540-4523-9961-78E4036D8C6D}">
    <vt:lpwstr>{79C9B09F-F6C8-46DF-90B8-601E8678194E}</vt:lpwstr>
  </property>
  <property fmtid="{D5CDD505-2E9C-101B-9397-08002B2CF9AE}" pid="17" name="Order">
    <vt:r8>1024100</vt:r8>
  </property>
  <property fmtid="{D5CDD505-2E9C-101B-9397-08002B2CF9AE}" pid="18" name="xd_Signature">
    <vt:bool>false</vt:bool>
  </property>
  <property fmtid="{D5CDD505-2E9C-101B-9397-08002B2CF9AE}" pid="19" name="xd_ProgID">
    <vt:lpwstr/>
  </property>
  <property fmtid="{D5CDD505-2E9C-101B-9397-08002B2CF9AE}" pid="20" name="ComplianceAssetId">
    <vt:lpwstr/>
  </property>
  <property fmtid="{D5CDD505-2E9C-101B-9397-08002B2CF9AE}" pid="21" name="TemplateUrl">
    <vt:lpwstr/>
  </property>
  <property fmtid="{D5CDD505-2E9C-101B-9397-08002B2CF9AE}" pid="22" name="SHNClassification">
    <vt:lpwstr>Public</vt:lpwstr>
  </property>
  <property fmtid="{D5CDD505-2E9C-101B-9397-08002B2CF9AE}" pid="23" name="_ExtendedDescription">
    <vt:lpwstr/>
  </property>
  <property fmtid="{D5CDD505-2E9C-101B-9397-08002B2CF9AE}" pid="24" name="TriggerFlowInfo">
    <vt:lpwstr/>
  </property>
</Properties>
</file>